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description" sheetId="1" r:id="rId1"/>
    <sheet name="Colebrook-White" sheetId="2" r:id="rId2"/>
    <sheet name="Colebrook-White (2)" sheetId="3" r:id="rId3"/>
  </sheets>
  <definedNames>
    <definedName name="dueg">19.62</definedName>
    <definedName name="g">9.81</definedName>
    <definedName name="pi">3.14</definedName>
  </definedNames>
  <calcPr fullCalcOnLoad="1"/>
</workbook>
</file>

<file path=xl/sharedStrings.xml><?xml version="1.0" encoding="utf-8"?>
<sst xmlns="http://schemas.openxmlformats.org/spreadsheetml/2006/main" count="137" uniqueCount="69">
  <si>
    <t>D =</t>
  </si>
  <si>
    <t>Q =</t>
  </si>
  <si>
    <t>A =</t>
  </si>
  <si>
    <t>V =</t>
  </si>
  <si>
    <t>Re =</t>
  </si>
  <si>
    <t>l =</t>
  </si>
  <si>
    <t>J =</t>
  </si>
  <si>
    <t>L =</t>
  </si>
  <si>
    <t>moto laminare</t>
  </si>
  <si>
    <r>
      <t>kg/m</t>
    </r>
    <r>
      <rPr>
        <vertAlign val="superscript"/>
        <sz val="10"/>
        <rFont val="Arial"/>
        <family val="2"/>
      </rPr>
      <t>3</t>
    </r>
  </si>
  <si>
    <r>
      <t>e/</t>
    </r>
    <r>
      <rPr>
        <sz val="10"/>
        <rFont val="Arial"/>
        <family val="2"/>
      </rPr>
      <t>D</t>
    </r>
    <r>
      <rPr>
        <sz val="10"/>
        <rFont val="Symbol"/>
        <family val="1"/>
      </rPr>
      <t xml:space="preserve"> =</t>
    </r>
  </si>
  <si>
    <t>l</t>
  </si>
  <si>
    <t>Re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</si>
  <si>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</si>
  <si>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 xml:space="preserve">m </t>
  </si>
  <si>
    <t>m</t>
  </si>
  <si>
    <r>
      <t>m</t>
    </r>
    <r>
      <rPr>
        <vertAlign val="superscript"/>
        <sz val="10"/>
        <rFont val="Arial"/>
        <family val="2"/>
      </rPr>
      <t>2</t>
    </r>
  </si>
  <si>
    <t>m/s</t>
  </si>
  <si>
    <t>err =</t>
  </si>
  <si>
    <t>moto turbolento di transizione</t>
  </si>
  <si>
    <t>moto puramente turbolento</t>
  </si>
  <si>
    <t>-</t>
  </si>
  <si>
    <t>J L =</t>
  </si>
  <si>
    <t>valori per il grafico</t>
  </si>
  <si>
    <t>righe orizzontali</t>
  </si>
  <si>
    <t>curva</t>
  </si>
  <si>
    <t>lambda</t>
  </si>
  <si>
    <t>Re plot</t>
  </si>
  <si>
    <t>lam. plot</t>
  </si>
  <si>
    <t>punti</t>
  </si>
  <si>
    <t>e  =</t>
  </si>
  <si>
    <t>r  =</t>
  </si>
  <si>
    <t>m  =</t>
  </si>
  <si>
    <r>
      <t>Ns/m</t>
    </r>
    <r>
      <rPr>
        <vertAlign val="superscript"/>
        <sz val="10"/>
        <rFont val="Arial"/>
        <family val="2"/>
      </rPr>
      <t>2</t>
    </r>
  </si>
  <si>
    <r>
      <t>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/2g =</t>
    </r>
  </si>
  <si>
    <t>DATA</t>
  </si>
  <si>
    <t>PARAMETERS</t>
  </si>
  <si>
    <t>RESULTS</t>
  </si>
  <si>
    <t xml:space="preserve">corresponds to the right relative roughness </t>
  </si>
  <si>
    <t>points</t>
  </si>
  <si>
    <t>horizontal lines</t>
  </si>
  <si>
    <t>curve</t>
  </si>
  <si>
    <t>fluid</t>
  </si>
  <si>
    <t>duct</t>
  </si>
  <si>
    <t>discharge</t>
  </si>
  <si>
    <t>difference =</t>
  </si>
  <si>
    <t xml:space="preserve">The red point individuates the Reylods number </t>
  </si>
  <si>
    <t xml:space="preserve">If the equation cannot be solved  </t>
  </si>
  <si>
    <t>of the duct.</t>
  </si>
  <si>
    <t xml:space="preserve">   on the curve.</t>
  </si>
  <si>
    <t>the point becomes white.</t>
  </si>
  <si>
    <r>
      <t>infinite</t>
    </r>
    <r>
      <rPr>
        <sz val="10"/>
        <rFont val="Symbol"/>
        <family val="1"/>
      </rPr>
      <t xml:space="preserve"> l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=</t>
    </r>
  </si>
  <si>
    <t xml:space="preserve">The curve hightlighted in red </t>
  </si>
  <si>
    <t>The curve hightlighted in red</t>
  </si>
  <si>
    <t xml:space="preserve">corresponds to the relative roughness </t>
  </si>
  <si>
    <t>given pipe and flow conditions.</t>
  </si>
  <si>
    <t>The red point individuates the parametrs for the</t>
  </si>
  <si>
    <t>If the equation is not solved the point becomes</t>
  </si>
  <si>
    <t xml:space="preserve">white. </t>
  </si>
  <si>
    <t>prof. Francesco Ballio</t>
  </si>
  <si>
    <t>Politecnico di Milano, Dept. I.I.A.R.</t>
  </si>
  <si>
    <t>e-mail:  francesco.ballio@polimi.it</t>
  </si>
  <si>
    <t>http://www.diiar.polimi.it/fballio</t>
  </si>
  <si>
    <t>Piazza Leonardo da Vinci 32, 20133 Milano, Italy</t>
  </si>
  <si>
    <t>this space is free for</t>
  </si>
  <si>
    <t>further computations</t>
  </si>
  <si>
    <t>values for the graph (do not touch)</t>
  </si>
  <si>
    <r>
      <t xml:space="preserve">(Re </t>
    </r>
    <r>
      <rPr>
        <sz val="10"/>
        <rFont val="Symbol"/>
        <family val="1"/>
      </rPr>
      <t>®¥</t>
    </r>
    <r>
      <rPr>
        <sz val="10"/>
        <rFont val="Arial"/>
        <family val="0"/>
      </rPr>
      <t>)</t>
    </r>
  </si>
  <si>
    <t>eps/D =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</si>
</sst>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E+00"/>
    <numFmt numFmtId="179" formatCode="0.000"/>
    <numFmt numFmtId="180" formatCode="0.0"/>
    <numFmt numFmtId="181" formatCode="0.00000"/>
    <numFmt numFmtId="182" formatCode="0.0000"/>
    <numFmt numFmtId="183" formatCode="0.0E+00"/>
    <numFmt numFmtId="184" formatCode="0.0.E+00"/>
    <numFmt numFmtId="185" formatCode="0.000000"/>
    <numFmt numFmtId="186" formatCode="0.0\ E+0"/>
    <numFmt numFmtId="187" formatCode="0.0\ \10\^0"/>
    <numFmt numFmtId="188" formatCode="0.0%"/>
    <numFmt numFmtId="189" formatCode="0.000%"/>
    <numFmt numFmtId="190" formatCode="0.0000%"/>
    <numFmt numFmtId="191" formatCode="0.0000E+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31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12"/>
      <name val="Arial"/>
      <family val="2"/>
    </font>
    <font>
      <sz val="14.5"/>
      <name val="Arial"/>
      <family val="2"/>
    </font>
    <font>
      <b/>
      <sz val="12"/>
      <color indexed="16"/>
      <name val="Arial"/>
      <family val="2"/>
    </font>
    <font>
      <b/>
      <sz val="17.5"/>
      <name val="Symbol"/>
      <family val="1"/>
    </font>
    <font>
      <b/>
      <sz val="17.5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10"/>
      <name val="Wingdings 3"/>
      <family val="1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2"/>
      <name val="Symbol"/>
      <family val="1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0"/>
    </font>
    <font>
      <u val="single"/>
      <sz val="10"/>
      <color indexed="6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83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 quotePrefix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14" fillId="3" borderId="0" xfId="0" applyFont="1" applyFill="1" applyAlignment="1">
      <alignment/>
    </xf>
    <xf numFmtId="182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Alignment="1">
      <alignment horizontal="right"/>
    </xf>
    <xf numFmtId="183" fontId="0" fillId="0" borderId="0" xfId="0" applyNumberFormat="1" applyFill="1" applyAlignment="1">
      <alignment horizontal="left"/>
    </xf>
    <xf numFmtId="0" fontId="2" fillId="0" borderId="0" xfId="0" applyFont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83" fontId="18" fillId="0" borderId="0" xfId="0" applyNumberFormat="1" applyFont="1" applyAlignment="1">
      <alignment/>
    </xf>
    <xf numFmtId="18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11" fontId="18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79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88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79" fontId="19" fillId="0" borderId="0" xfId="0" applyNumberFormat="1" applyFont="1" applyAlignment="1">
      <alignment horizontal="center" vertical="center"/>
    </xf>
    <xf numFmtId="179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20" fillId="4" borderId="0" xfId="0" applyFont="1" applyFill="1" applyAlignment="1">
      <alignment/>
    </xf>
    <xf numFmtId="0" fontId="18" fillId="4" borderId="0" xfId="0" applyFont="1" applyFill="1" applyAlignment="1">
      <alignment/>
    </xf>
    <xf numFmtId="183" fontId="18" fillId="4" borderId="0" xfId="0" applyNumberFormat="1" applyFont="1" applyFill="1" applyAlignment="1">
      <alignment/>
    </xf>
    <xf numFmtId="183" fontId="18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  <xf numFmtId="179" fontId="19" fillId="4" borderId="0" xfId="0" applyNumberFormat="1" applyFont="1" applyFill="1" applyAlignment="1">
      <alignment horizontal="center" vertical="center"/>
    </xf>
    <xf numFmtId="11" fontId="18" fillId="4" borderId="0" xfId="0" applyNumberFormat="1" applyFont="1" applyFill="1" applyAlignment="1">
      <alignment/>
    </xf>
    <xf numFmtId="179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82" fontId="0" fillId="0" borderId="0" xfId="0" applyNumberFormat="1" applyAlignment="1">
      <alignment horizontal="left"/>
    </xf>
    <xf numFmtId="18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83" fontId="0" fillId="3" borderId="0" xfId="0" applyNumberFormat="1" applyFill="1" applyAlignment="1">
      <alignment horizontal="center"/>
    </xf>
    <xf numFmtId="183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83" fontId="11" fillId="3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11" fontId="0" fillId="3" borderId="0" xfId="0" applyNumberFormat="1" applyFill="1" applyAlignment="1">
      <alignment/>
    </xf>
    <xf numFmtId="0" fontId="26" fillId="3" borderId="0" xfId="0" applyFont="1" applyFill="1" applyAlignment="1">
      <alignment/>
    </xf>
    <xf numFmtId="0" fontId="27" fillId="3" borderId="0" xfId="15" applyFont="1" applyFill="1" applyAlignment="1">
      <alignment/>
    </xf>
    <xf numFmtId="0" fontId="24" fillId="3" borderId="0" xfId="15" applyFill="1" applyAlignment="1">
      <alignment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3" fontId="0" fillId="4" borderId="0" xfId="0" applyNumberFormat="1" applyFill="1" applyAlignment="1">
      <alignment horizontal="center"/>
    </xf>
    <xf numFmtId="179" fontId="0" fillId="4" borderId="0" xfId="0" applyNumberFormat="1" applyFill="1" applyAlignment="1" quotePrefix="1">
      <alignment horizontal="center"/>
    </xf>
    <xf numFmtId="183" fontId="0" fillId="4" borderId="0" xfId="0" applyNumberFormat="1" applyFill="1" applyAlignment="1">
      <alignment/>
    </xf>
    <xf numFmtId="183" fontId="0" fillId="4" borderId="0" xfId="0" applyNumberFormat="1" applyFill="1" applyAlignment="1">
      <alignment horizontal="right"/>
    </xf>
    <xf numFmtId="0" fontId="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179" fontId="4" fillId="4" borderId="0" xfId="0" applyNumberFormat="1" applyFont="1" applyFill="1" applyAlignment="1" quotePrefix="1">
      <alignment horizontal="center"/>
    </xf>
    <xf numFmtId="183" fontId="11" fillId="4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1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 horizontal="center" vertical="center" textRotation="90" wrapText="1"/>
    </xf>
    <xf numFmtId="0" fontId="6" fillId="4" borderId="0" xfId="0" applyFont="1" applyFill="1" applyAlignment="1">
      <alignment horizontal="center" vertical="center" textRotation="90"/>
    </xf>
    <xf numFmtId="0" fontId="16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80008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15"/>
          <c:w val="0.97575"/>
          <c:h val="0.9165"/>
        </c:manualLayout>
      </c:layout>
      <c:scatterChart>
        <c:scatterStyle val="smooth"/>
        <c:varyColors val="0"/>
        <c:ser>
          <c:idx val="0"/>
          <c:order val="0"/>
          <c:tx>
            <c:strRef>
              <c:f>description!$AA$17:$AB$17</c:f>
              <c:strCache>
                <c:ptCount val="1"/>
                <c:pt idx="0">
                  <c:v>e/D = 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description!$AA$20:$AA$44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description!$AB$20:$AB$44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1"/>
          <c:tx>
            <c:strRef>
              <c:f>description!$AW$17</c:f>
              <c:strCache>
                <c:ptCount val="1"/>
                <c:pt idx="0">
                  <c:v>0.05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description!$AV$20:$AV$48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description!$AW$20:$AW$48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description!$AT$17</c:f>
              <c:strCache>
                <c:ptCount val="1"/>
                <c:pt idx="0">
                  <c:v>0.02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description!$AS$20:$AS$48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description!$AT$20:$AT$48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description!$AE$17</c:f>
              <c:strCache>
                <c:ptCount val="1"/>
                <c:pt idx="0">
                  <c:v>0.01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description!$AD$20:$AD$48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description!$AE$20:$AE$48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description!$AF$12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description!$AI$12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description!$AO$10:$AO$14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description!$AP$10:$AP$14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description!$AH$17</c:f>
              <c:strCache>
                <c:ptCount val="1"/>
                <c:pt idx="0">
                  <c:v>0.003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description!$AG$20:$AG$48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description!$AH$20:$AH$48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description!$AK$17</c:f>
              <c:strCache>
                <c:ptCount val="1"/>
                <c:pt idx="0">
                  <c:v>0.001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description!$AJ$20:$AJ$48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description!$AK$20:$AK$48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8"/>
          <c:tx>
            <c:strRef>
              <c:f>description!$AN$17</c:f>
              <c:strCache>
                <c:ptCount val="1"/>
                <c:pt idx="0">
                  <c:v>0.0001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description!$AM$20:$AM$48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description!$AN$20:$AN$48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6"/>
          <c:order val="9"/>
          <c:tx>
            <c:strRef>
              <c:f>description!$AQ$17</c:f>
              <c:strCache>
                <c:ptCount val="1"/>
                <c:pt idx="0">
                  <c:v>0.00001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description!$AP$20:$AP$48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description!$AQ$20:$AQ$48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description!$AA$9:$AA$10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description!$AB$9:$AB$10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description!$AA$12:$AA$13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description!$AB$12:$AB$13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2261851"/>
        <c:axId val="23485748"/>
      </c:scatterChart>
      <c:valAx>
        <c:axId val="62261851"/>
        <c:scaling>
          <c:logBase val="10"/>
          <c:orientation val="minMax"/>
          <c:max val="1000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485748"/>
        <c:crossesAt val="0.001"/>
        <c:crossBetween val="midCat"/>
        <c:dispUnits/>
      </c:valAx>
      <c:valAx>
        <c:axId val="23485748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l</a:t>
                </a:r>
              </a:p>
            </c:rich>
          </c:tx>
          <c:layout>
            <c:manualLayout>
              <c:xMode val="factor"/>
              <c:yMode val="factor"/>
              <c:x val="-0.005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08"/>
          <c:y val="0.5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7625"/>
          <c:h val="0.9495"/>
        </c:manualLayout>
      </c:layout>
      <c:scatterChart>
        <c:scatterStyle val="smooth"/>
        <c:varyColors val="0"/>
        <c:ser>
          <c:idx val="0"/>
          <c:order val="0"/>
          <c:tx>
            <c:strRef>
              <c:f>description!$AA$17:$AB$17</c:f>
              <c:strCache>
                <c:ptCount val="1"/>
                <c:pt idx="0">
                  <c:v>eps/D =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description!$AA$20:$AA$44</c:f>
              <c:numCache>
                <c:ptCount val="25"/>
                <c:pt idx="0">
                  <c:v>2763292698.7391543</c:v>
                </c:pt>
                <c:pt idx="1">
                  <c:v>1136566158.5574565</c:v>
                </c:pt>
                <c:pt idx="2">
                  <c:v>486132915.7049539</c:v>
                </c:pt>
                <c:pt idx="3">
                  <c:v>215832591.35823616</c:v>
                </c:pt>
                <c:pt idx="4">
                  <c:v>99294850.816381</c:v>
                </c:pt>
                <c:pt idx="5">
                  <c:v>47256901.135099836</c:v>
                </c:pt>
                <c:pt idx="6">
                  <c:v>23229888.20498718</c:v>
                </c:pt>
                <c:pt idx="7">
                  <c:v>11776570.236089911</c:v>
                </c:pt>
                <c:pt idx="8">
                  <c:v>6148330.887555784</c:v>
                </c:pt>
                <c:pt idx="9">
                  <c:v>3301172.4128733356</c:v>
                </c:pt>
                <c:pt idx="10">
                  <c:v>1820477.3165600668</c:v>
                </c:pt>
                <c:pt idx="11">
                  <c:v>1029836.5682311183</c:v>
                </c:pt>
                <c:pt idx="12">
                  <c:v>596901.04163383</c:v>
                </c:pt>
                <c:pt idx="13">
                  <c:v>354075.87686809554</c:v>
                </c:pt>
                <c:pt idx="14">
                  <c:v>214724.7726620877</c:v>
                </c:pt>
                <c:pt idx="15">
                  <c:v>132988.28809129936</c:v>
                </c:pt>
                <c:pt idx="16">
                  <c:v>84035.82469966105</c:v>
                </c:pt>
                <c:pt idx="17">
                  <c:v>54128.94544849816</c:v>
                </c:pt>
                <c:pt idx="18">
                  <c:v>35507.637811023924</c:v>
                </c:pt>
                <c:pt idx="19">
                  <c:v>23701.30201981311</c:v>
                </c:pt>
                <c:pt idx="20">
                  <c:v>16085.297443679743</c:v>
                </c:pt>
                <c:pt idx="21">
                  <c:v>11090.652196915884</c:v>
                </c:pt>
                <c:pt idx="22">
                  <c:v>7763.1219942527805</c:v>
                </c:pt>
                <c:pt idx="23">
                  <c:v>5512.672454187288</c:v>
                </c:pt>
                <c:pt idx="24">
                  <c:v>3968.658463511319</c:v>
                </c:pt>
              </c:numCache>
            </c:numRef>
          </c:xVal>
          <c:yVal>
            <c:numRef>
              <c:f>description!$AB$20:$AB$44</c:f>
              <c:numCache>
                <c:ptCount val="25"/>
                <c:pt idx="0">
                  <c:v>0.004061023919790819</c:v>
                </c:pt>
                <c:pt idx="1">
                  <c:v>0.004467126311769901</c:v>
                </c:pt>
                <c:pt idx="2">
                  <c:v>0.004913838942946891</c:v>
                </c:pt>
                <c:pt idx="3">
                  <c:v>0.00540522283724158</c:v>
                </c:pt>
                <c:pt idx="4">
                  <c:v>0.005945745120965739</c:v>
                </c:pt>
                <c:pt idx="5">
                  <c:v>0.006540319633062313</c:v>
                </c:pt>
                <c:pt idx="6">
                  <c:v>0.007194351596368545</c:v>
                </c:pt>
                <c:pt idx="7">
                  <c:v>0.0079137867560054</c:v>
                </c:pt>
                <c:pt idx="8">
                  <c:v>0.008705165431605941</c:v>
                </c:pt>
                <c:pt idx="9">
                  <c:v>0.009575681974766536</c:v>
                </c:pt>
                <c:pt idx="10">
                  <c:v>0.01053325017224319</c:v>
                </c:pt>
                <c:pt idx="11">
                  <c:v>0.01158657518946751</c:v>
                </c:pt>
                <c:pt idx="12">
                  <c:v>0.012745232708414262</c:v>
                </c:pt>
                <c:pt idx="13">
                  <c:v>0.014019755979255689</c:v>
                </c:pt>
                <c:pt idx="14">
                  <c:v>0.015421731577181259</c:v>
                </c:pt>
                <c:pt idx="15">
                  <c:v>0.016963904734899386</c:v>
                </c:pt>
                <c:pt idx="16">
                  <c:v>0.018660295208389327</c:v>
                </c:pt>
                <c:pt idx="17">
                  <c:v>0.02052632472922826</c:v>
                </c:pt>
                <c:pt idx="18">
                  <c:v>0.022578957202151088</c:v>
                </c:pt>
                <c:pt idx="19">
                  <c:v>0.024836852922366197</c:v>
                </c:pt>
                <c:pt idx="20">
                  <c:v>0.02732053821460282</c:v>
                </c:pt>
                <c:pt idx="21">
                  <c:v>0.030052592036063103</c:v>
                </c:pt>
                <c:pt idx="22">
                  <c:v>0.033057851239669415</c:v>
                </c:pt>
                <c:pt idx="23">
                  <c:v>0.03636363636363636</c:v>
                </c:pt>
                <c:pt idx="24">
                  <c:v>0.04</c:v>
                </c:pt>
              </c:numCache>
            </c:numRef>
          </c:yVal>
          <c:smooth val="1"/>
        </c:ser>
        <c:ser>
          <c:idx val="8"/>
          <c:order val="1"/>
          <c:tx>
            <c:strRef>
              <c:f>description!$AW$17</c:f>
              <c:strCache>
                <c:ptCount val="1"/>
                <c:pt idx="0">
                  <c:v>0.05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description!$AV$20:$AV$48</c:f>
              <c:numCache>
                <c:ptCount val="29"/>
                <c:pt idx="0">
                  <c:v>116748.43247264609</c:v>
                </c:pt>
                <c:pt idx="1">
                  <c:v>55775.08750312946</c:v>
                </c:pt>
                <c:pt idx="2">
                  <c:v>36540.02380421669</c:v>
                </c:pt>
                <c:pt idx="3">
                  <c:v>27114.86963913239</c:v>
                </c:pt>
                <c:pt idx="4">
                  <c:v>21520.089070775968</c:v>
                </c:pt>
                <c:pt idx="5">
                  <c:v>17815.184321481254</c:v>
                </c:pt>
                <c:pt idx="6">
                  <c:v>15181.050265273687</c:v>
                </c:pt>
                <c:pt idx="7">
                  <c:v>13212.18024167242</c:v>
                </c:pt>
                <c:pt idx="8">
                  <c:v>11684.873629885937</c:v>
                </c:pt>
                <c:pt idx="9">
                  <c:v>10465.6158332715</c:v>
                </c:pt>
                <c:pt idx="10">
                  <c:v>9469.790900299633</c:v>
                </c:pt>
                <c:pt idx="11">
                  <c:v>8641.173345790481</c:v>
                </c:pt>
                <c:pt idx="12">
                  <c:v>7940.9426099022985</c:v>
                </c:pt>
                <c:pt idx="13">
                  <c:v>7341.432071451396</c:v>
                </c:pt>
                <c:pt idx="14">
                  <c:v>6822.391569301572</c:v>
                </c:pt>
                <c:pt idx="15">
                  <c:v>6368.658367063367</c:v>
                </c:pt>
                <c:pt idx="16">
                  <c:v>5968.65393179248</c:v>
                </c:pt>
                <c:pt idx="17">
                  <c:v>5613.383974456613</c:v>
                </c:pt>
                <c:pt idx="18">
                  <c:v>5295.755573102871</c:v>
                </c:pt>
                <c:pt idx="19">
                  <c:v>5010.099963827532</c:v>
                </c:pt>
                <c:pt idx="20">
                  <c:v>4751.8321871820735</c:v>
                </c:pt>
                <c:pt idx="21">
                  <c:v>4517.203889653405</c:v>
                </c:pt>
                <c:pt idx="22">
                  <c:v>4303.120831880018</c:v>
                </c:pt>
                <c:pt idx="23">
                  <c:v>4107.0061690642815</c:v>
                </c:pt>
                <c:pt idx="24">
                  <c:v>3926.696647122411</c:v>
                </c:pt>
                <c:pt idx="26">
                  <c:v>116748.43247264609</c:v>
                </c:pt>
                <c:pt idx="27">
                  <c:v>180960.07033260143</c:v>
                </c:pt>
                <c:pt idx="28">
                  <c:v>100000000</c:v>
                </c:pt>
              </c:numCache>
            </c:numRef>
          </c:xVal>
          <c:yVal>
            <c:numRef>
              <c:f>description!$AW$20:$AW$48</c:f>
              <c:numCache>
                <c:ptCount val="29"/>
                <c:pt idx="0">
                  <c:v>0.07165860224675855</c:v>
                </c:pt>
                <c:pt idx="1">
                  <c:v>0.07187357805349881</c:v>
                </c:pt>
                <c:pt idx="2">
                  <c:v>0.07208919878765929</c:v>
                </c:pt>
                <c:pt idx="3">
                  <c:v>0.07230546638402226</c:v>
                </c:pt>
                <c:pt idx="4">
                  <c:v>0.07252238278317431</c:v>
                </c:pt>
                <c:pt idx="5">
                  <c:v>0.07273994993152383</c:v>
                </c:pt>
                <c:pt idx="6">
                  <c:v>0.07295816978131839</c:v>
                </c:pt>
                <c:pt idx="7">
                  <c:v>0.07317704429066234</c:v>
                </c:pt>
                <c:pt idx="8">
                  <c:v>0.07339657542353431</c:v>
                </c:pt>
                <c:pt idx="9">
                  <c:v>0.0736167651498049</c:v>
                </c:pt>
                <c:pt idx="10">
                  <c:v>0.07383761544525431</c:v>
                </c:pt>
                <c:pt idx="11">
                  <c:v>0.07405912829159007</c:v>
                </c:pt>
                <c:pt idx="12">
                  <c:v>0.07428130567646483</c:v>
                </c:pt>
                <c:pt idx="13">
                  <c:v>0.07450414959349422</c:v>
                </c:pt>
                <c:pt idx="14">
                  <c:v>0.0747276620422747</c:v>
                </c:pt>
                <c:pt idx="15">
                  <c:v>0.07495184502840152</c:v>
                </c:pt>
                <c:pt idx="16">
                  <c:v>0.07517670056348671</c:v>
                </c:pt>
                <c:pt idx="17">
                  <c:v>0.07540223066517716</c:v>
                </c:pt>
                <c:pt idx="18">
                  <c:v>0.07562843735717269</c:v>
                </c:pt>
                <c:pt idx="19">
                  <c:v>0.07585532266924419</c:v>
                </c:pt>
                <c:pt idx="20">
                  <c:v>0.07608288863725192</c:v>
                </c:pt>
                <c:pt idx="21">
                  <c:v>0.07631113730316366</c:v>
                </c:pt>
                <c:pt idx="22">
                  <c:v>0.07654007071507314</c:v>
                </c:pt>
                <c:pt idx="23">
                  <c:v>0.07676969092721836</c:v>
                </c:pt>
                <c:pt idx="24">
                  <c:v>0.077</c:v>
                </c:pt>
                <c:pt idx="26">
                  <c:v>0.07165860224675855</c:v>
                </c:pt>
                <c:pt idx="27">
                  <c:v>0.07146101945021723</c:v>
                </c:pt>
                <c:pt idx="28">
                  <c:v>0.07146101945021723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description!$AT$17</c:f>
              <c:strCache>
                <c:ptCount val="1"/>
                <c:pt idx="0">
                  <c:v>0.02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description!$AS$20:$AS$48</c:f>
              <c:numCache>
                <c:ptCount val="29"/>
                <c:pt idx="0">
                  <c:v>48931.775391834744</c:v>
                </c:pt>
                <c:pt idx="1">
                  <c:v>35358.136064858794</c:v>
                </c:pt>
                <c:pt idx="2">
                  <c:v>27569.357068777954</c:v>
                </c:pt>
                <c:pt idx="3">
                  <c:v>22517.992289637215</c:v>
                </c:pt>
                <c:pt idx="4">
                  <c:v>18977.37207318017</c:v>
                </c:pt>
                <c:pt idx="5">
                  <c:v>16358.48614457989</c:v>
                </c:pt>
                <c:pt idx="6">
                  <c:v>14343.294705820248</c:v>
                </c:pt>
                <c:pt idx="7">
                  <c:v>12744.978416647631</c:v>
                </c:pt>
                <c:pt idx="8">
                  <c:v>11446.590769979508</c:v>
                </c:pt>
                <c:pt idx="9">
                  <c:v>10371.184701151862</c:v>
                </c:pt>
                <c:pt idx="10">
                  <c:v>9466.058360189103</c:v>
                </c:pt>
                <c:pt idx="11">
                  <c:v>8693.903151634882</c:v>
                </c:pt>
                <c:pt idx="12">
                  <c:v>8027.566091020809</c:v>
                </c:pt>
                <c:pt idx="13">
                  <c:v>7446.814468163974</c:v>
                </c:pt>
                <c:pt idx="14">
                  <c:v>6936.263266991594</c:v>
                </c:pt>
                <c:pt idx="15">
                  <c:v>6484.005360267551</c:v>
                </c:pt>
                <c:pt idx="16">
                  <c:v>6080.681335620244</c:v>
                </c:pt>
                <c:pt idx="17">
                  <c:v>5718.832697680083</c:v>
                </c:pt>
                <c:pt idx="18">
                  <c:v>5392.442594707438</c:v>
                </c:pt>
                <c:pt idx="19">
                  <c:v>5096.6035635183325</c:v>
                </c:pt>
                <c:pt idx="20">
                  <c:v>4827.273115143411</c:v>
                </c:pt>
                <c:pt idx="21">
                  <c:v>4581.091211036919</c:v>
                </c:pt>
                <c:pt idx="22">
                  <c:v>4355.24208632973</c:v>
                </c:pt>
                <c:pt idx="23">
                  <c:v>4147.34833873427</c:v>
                </c:pt>
                <c:pt idx="24">
                  <c:v>3955.388822302297</c:v>
                </c:pt>
                <c:pt idx="26">
                  <c:v>48931.775391834744</c:v>
                </c:pt>
                <c:pt idx="27">
                  <c:v>75844.25185734386</c:v>
                </c:pt>
                <c:pt idx="28">
                  <c:v>100000000</c:v>
                </c:pt>
              </c:numCache>
            </c:numRef>
          </c:xVal>
          <c:yVal>
            <c:numRef>
              <c:f>description!$AT$20:$AT$48</c:f>
              <c:numCache>
                <c:ptCount val="29"/>
                <c:pt idx="0">
                  <c:v>0.04937684292427894</c:v>
                </c:pt>
                <c:pt idx="1">
                  <c:v>0.04967310398182462</c:v>
                </c:pt>
                <c:pt idx="2">
                  <c:v>0.049971142605715564</c:v>
                </c:pt>
                <c:pt idx="3">
                  <c:v>0.05027096946134986</c:v>
                </c:pt>
                <c:pt idx="4">
                  <c:v>0.05057259527811796</c:v>
                </c:pt>
                <c:pt idx="5">
                  <c:v>0.05087603084978667</c:v>
                </c:pt>
                <c:pt idx="6">
                  <c:v>0.051181287034885385</c:v>
                </c:pt>
                <c:pt idx="7">
                  <c:v>0.051488374757094696</c:v>
                </c:pt>
                <c:pt idx="8">
                  <c:v>0.05179730500563726</c:v>
                </c:pt>
                <c:pt idx="9">
                  <c:v>0.052108088835671085</c:v>
                </c:pt>
                <c:pt idx="10">
                  <c:v>0.05242073736868511</c:v>
                </c:pt>
                <c:pt idx="11">
                  <c:v>0.052735261792897226</c:v>
                </c:pt>
                <c:pt idx="12">
                  <c:v>0.05305167336365461</c:v>
                </c:pt>
                <c:pt idx="13">
                  <c:v>0.053369983403836536</c:v>
                </c:pt>
                <c:pt idx="14">
                  <c:v>0.053690203304259554</c:v>
                </c:pt>
                <c:pt idx="15">
                  <c:v>0.05401234452408511</c:v>
                </c:pt>
                <c:pt idx="16">
                  <c:v>0.054336418591229625</c:v>
                </c:pt>
                <c:pt idx="17">
                  <c:v>0.054662437102777</c:v>
                </c:pt>
                <c:pt idx="18">
                  <c:v>0.054990411725393665</c:v>
                </c:pt>
                <c:pt idx="19">
                  <c:v>0.055320354195746026</c:v>
                </c:pt>
                <c:pt idx="20">
                  <c:v>0.0556522763209205</c:v>
                </c:pt>
                <c:pt idx="21">
                  <c:v>0.055986189978846024</c:v>
                </c:pt>
                <c:pt idx="22">
                  <c:v>0.0563221071187191</c:v>
                </c:pt>
                <c:pt idx="23">
                  <c:v>0.05666003976143141</c:v>
                </c:pt>
                <c:pt idx="24">
                  <c:v>0.057</c:v>
                </c:pt>
                <c:pt idx="26">
                  <c:v>0.04937684292427894</c:v>
                </c:pt>
                <c:pt idx="27">
                  <c:v>0.04858723752400783</c:v>
                </c:pt>
                <c:pt idx="28">
                  <c:v>0.04858723752400783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description!$AE$17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description!$AD$20:$AD$48</c:f>
              <c:numCache>
                <c:ptCount val="29"/>
                <c:pt idx="0">
                  <c:v>82948.47758980757</c:v>
                </c:pt>
                <c:pt idx="1">
                  <c:v>53389.58596900229</c:v>
                </c:pt>
                <c:pt idx="2">
                  <c:v>39012.490991866754</c:v>
                </c:pt>
                <c:pt idx="3">
                  <c:v>30516.413609585896</c:v>
                </c:pt>
                <c:pt idx="4">
                  <c:v>24909.378178382125</c:v>
                </c:pt>
                <c:pt idx="5">
                  <c:v>20934.63866798386</c:v>
                </c:pt>
                <c:pt idx="6">
                  <c:v>17972.017257134878</c:v>
                </c:pt>
                <c:pt idx="7">
                  <c:v>15680.161857769066</c:v>
                </c:pt>
                <c:pt idx="8">
                  <c:v>13855.682605330367</c:v>
                </c:pt>
                <c:pt idx="9">
                  <c:v>12369.849120088596</c:v>
                </c:pt>
                <c:pt idx="10">
                  <c:v>11137.213117588566</c:v>
                </c:pt>
                <c:pt idx="11">
                  <c:v>10098.828528692517</c:v>
                </c:pt>
                <c:pt idx="12">
                  <c:v>9212.716287529653</c:v>
                </c:pt>
                <c:pt idx="13">
                  <c:v>8448.16957060562</c:v>
                </c:pt>
                <c:pt idx="14">
                  <c:v>7782.208405170042</c:v>
                </c:pt>
                <c:pt idx="15">
                  <c:v>7197.293218395648</c:v>
                </c:pt>
                <c:pt idx="16">
                  <c:v>6679.804922098816</c:v>
                </c:pt>
                <c:pt idx="17">
                  <c:v>6219.007586140427</c:v>
                </c:pt>
                <c:pt idx="18">
                  <c:v>5806.323920252027</c:v>
                </c:pt>
                <c:pt idx="19">
                  <c:v>5434.8187809652445</c:v>
                </c:pt>
                <c:pt idx="20">
                  <c:v>5098.824202549939</c:v>
                </c:pt>
                <c:pt idx="21">
                  <c:v>4793.662685716172</c:v>
                </c:pt>
                <c:pt idx="22">
                  <c:v>4515.439962068322</c:v>
                </c:pt>
                <c:pt idx="23">
                  <c:v>4260.887700639933</c:v>
                </c:pt>
                <c:pt idx="24">
                  <c:v>4027.2426570997277</c:v>
                </c:pt>
                <c:pt idx="26">
                  <c:v>82948.47758980757</c:v>
                </c:pt>
                <c:pt idx="27">
                  <c:v>128570.14026420175</c:v>
                </c:pt>
                <c:pt idx="28">
                  <c:v>100000000</c:v>
                </c:pt>
              </c:numCache>
            </c:numRef>
          </c:xVal>
          <c:yVal>
            <c:numRef>
              <c:f>description!$AE$20:$AE$48</c:f>
              <c:numCache>
                <c:ptCount val="29"/>
                <c:pt idx="0">
                  <c:v>0.03859074024376233</c:v>
                </c:pt>
                <c:pt idx="1">
                  <c:v>0.03897664764619995</c:v>
                </c:pt>
                <c:pt idx="2">
                  <c:v>0.03936641412266195</c:v>
                </c:pt>
                <c:pt idx="3">
                  <c:v>0.039760078263888575</c:v>
                </c:pt>
                <c:pt idx="4">
                  <c:v>0.040157679046527464</c:v>
                </c:pt>
                <c:pt idx="5">
                  <c:v>0.04055925583699274</c:v>
                </c:pt>
                <c:pt idx="6">
                  <c:v>0.04096484839536267</c:v>
                </c:pt>
                <c:pt idx="7">
                  <c:v>0.0413744968793163</c:v>
                </c:pt>
                <c:pt idx="8">
                  <c:v>0.04178824184810946</c:v>
                </c:pt>
                <c:pt idx="9">
                  <c:v>0.04220612426659056</c:v>
                </c:pt>
                <c:pt idx="10">
                  <c:v>0.04262818550925646</c:v>
                </c:pt>
                <c:pt idx="11">
                  <c:v>0.04305446736434903</c:v>
                </c:pt>
                <c:pt idx="12">
                  <c:v>0.04348501203799252</c:v>
                </c:pt>
                <c:pt idx="13">
                  <c:v>0.04391986215837245</c:v>
                </c:pt>
                <c:pt idx="14">
                  <c:v>0.044359060779956175</c:v>
                </c:pt>
                <c:pt idx="15">
                  <c:v>0.044802651387755736</c:v>
                </c:pt>
                <c:pt idx="16">
                  <c:v>0.04525067790163329</c:v>
                </c:pt>
                <c:pt idx="17">
                  <c:v>0.04570318468064963</c:v>
                </c:pt>
                <c:pt idx="18">
                  <c:v>0.046160216527456124</c:v>
                </c:pt>
                <c:pt idx="19">
                  <c:v>0.04662181869273069</c:v>
                </c:pt>
                <c:pt idx="20">
                  <c:v>0.04708803687965799</c:v>
                </c:pt>
                <c:pt idx="21">
                  <c:v>0.047558917248454576</c:v>
                </c:pt>
                <c:pt idx="22">
                  <c:v>0.04803450642093912</c:v>
                </c:pt>
                <c:pt idx="23">
                  <c:v>0.048514851485148516</c:v>
                </c:pt>
                <c:pt idx="24">
                  <c:v>0.049</c:v>
                </c:pt>
                <c:pt idx="26">
                  <c:v>0.03859074024376233</c:v>
                </c:pt>
                <c:pt idx="27">
                  <c:v>0.03786913533793549</c:v>
                </c:pt>
                <c:pt idx="28">
                  <c:v>0.03786913533793549</c:v>
                </c:pt>
              </c:numCache>
            </c:numRef>
          </c:yVal>
          <c:smooth val="1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description!$AF$12</c:f>
              <c:numCache>
                <c:ptCount val="1"/>
              </c:numCache>
            </c:numRef>
          </c:xVal>
          <c:yVal>
            <c:numRef>
              <c:f>description!$AI$12</c:f>
              <c:numCache>
                <c:ptCount val="1"/>
              </c:numCache>
            </c:numRef>
          </c:yVal>
          <c:smooth val="1"/>
        </c:ser>
        <c:ser>
          <c:idx val="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description!$AO$10:$AO$14</c:f>
              <c:numCache>
                <c:ptCount val="5"/>
              </c:numCache>
            </c:numRef>
          </c:xVal>
          <c:yVal>
            <c:numRef>
              <c:f>description!$AP$10:$AP$14</c:f>
              <c:numCache>
                <c:ptCount val="5"/>
              </c:numCache>
            </c:numRef>
          </c:yVal>
          <c:smooth val="1"/>
        </c:ser>
        <c:ser>
          <c:idx val="2"/>
          <c:order val="6"/>
          <c:tx>
            <c:strRef>
              <c:f>description!$AH$17</c:f>
              <c:strCache>
                <c:ptCount val="1"/>
                <c:pt idx="0">
                  <c:v>0.003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description!$AG$20:$AG$48</c:f>
              <c:numCache>
                <c:ptCount val="29"/>
                <c:pt idx="0">
                  <c:v>231354.7971143188</c:v>
                </c:pt>
                <c:pt idx="1">
                  <c:v>117637.90134479686</c:v>
                </c:pt>
                <c:pt idx="2">
                  <c:v>76828.10830975653</c:v>
                </c:pt>
                <c:pt idx="3">
                  <c:v>55897.65849022306</c:v>
                </c:pt>
                <c:pt idx="4">
                  <c:v>43207.2163510493</c:v>
                </c:pt>
                <c:pt idx="5">
                  <c:v>34718.80991265538</c:v>
                </c:pt>
                <c:pt idx="6">
                  <c:v>28661.46175535449</c:v>
                </c:pt>
                <c:pt idx="7">
                  <c:v>24136.098431075196</c:v>
                </c:pt>
                <c:pt idx="8">
                  <c:v>20637.790403588875</c:v>
                </c:pt>
                <c:pt idx="9">
                  <c:v>17861.111948847418</c:v>
                </c:pt>
                <c:pt idx="10">
                  <c:v>15610.476396449385</c:v>
                </c:pt>
                <c:pt idx="11">
                  <c:v>13754.841855884233</c:v>
                </c:pt>
                <c:pt idx="12">
                  <c:v>12203.122977827257</c:v>
                </c:pt>
                <c:pt idx="13">
                  <c:v>10890.047277556652</c:v>
                </c:pt>
                <c:pt idx="14">
                  <c:v>9767.622142454185</c:v>
                </c:pt>
                <c:pt idx="15">
                  <c:v>8799.776864859301</c:v>
                </c:pt>
                <c:pt idx="16">
                  <c:v>7958.881874841878</c:v>
                </c:pt>
                <c:pt idx="17">
                  <c:v>7223.420184269315</c:v>
                </c:pt>
                <c:pt idx="18">
                  <c:v>6576.389318531013</c:v>
                </c:pt>
                <c:pt idx="19">
                  <c:v>6004.179654903769</c:v>
                </c:pt>
                <c:pt idx="20">
                  <c:v>5495.771307059398</c:v>
                </c:pt>
                <c:pt idx="21">
                  <c:v>5042.148774971035</c:v>
                </c:pt>
                <c:pt idx="22">
                  <c:v>4635.8674442811425</c:v>
                </c:pt>
                <c:pt idx="23">
                  <c:v>4270.727877367202</c:v>
                </c:pt>
                <c:pt idx="24">
                  <c:v>3941.5278666726845</c:v>
                </c:pt>
                <c:pt idx="26">
                  <c:v>231354.7971143188</c:v>
                </c:pt>
                <c:pt idx="27">
                  <c:v>358599.9355271941</c:v>
                </c:pt>
                <c:pt idx="28">
                  <c:v>100000000</c:v>
                </c:pt>
              </c:numCache>
            </c:numRef>
          </c:xVal>
          <c:yVal>
            <c:numRef>
              <c:f>description!$AH$20:$AH$48</c:f>
              <c:numCache>
                <c:ptCount val="29"/>
                <c:pt idx="0">
                  <c:v>0.026734023981370317</c:v>
                </c:pt>
                <c:pt idx="1">
                  <c:v>0.027268704460997724</c:v>
                </c:pt>
                <c:pt idx="2">
                  <c:v>0.02781407855021768</c:v>
                </c:pt>
                <c:pt idx="3">
                  <c:v>0.028370360121222033</c:v>
                </c:pt>
                <c:pt idx="4">
                  <c:v>0.028937767323646474</c:v>
                </c:pt>
                <c:pt idx="5">
                  <c:v>0.029516522670119404</c:v>
                </c:pt>
                <c:pt idx="6">
                  <c:v>0.030106853123521793</c:v>
                </c:pt>
                <c:pt idx="7">
                  <c:v>0.03070899018599223</c:v>
                </c:pt>
                <c:pt idx="8">
                  <c:v>0.031323169989712074</c:v>
                </c:pt>
                <c:pt idx="9">
                  <c:v>0.031949633389506314</c:v>
                </c:pt>
                <c:pt idx="10">
                  <c:v>0.03258862605729644</c:v>
                </c:pt>
                <c:pt idx="11">
                  <c:v>0.03324039857844237</c:v>
                </c:pt>
                <c:pt idx="12">
                  <c:v>0.03390520655001122</c:v>
                </c:pt>
                <c:pt idx="13">
                  <c:v>0.03458331068101144</c:v>
                </c:pt>
                <c:pt idx="14">
                  <c:v>0.03527497689463167</c:v>
                </c:pt>
                <c:pt idx="15">
                  <c:v>0.0359804764325243</c:v>
                </c:pt>
                <c:pt idx="16">
                  <c:v>0.036700085961174786</c:v>
                </c:pt>
                <c:pt idx="17">
                  <c:v>0.037434087680398284</c:v>
                </c:pt>
                <c:pt idx="18">
                  <c:v>0.03818276943400625</c:v>
                </c:pt>
                <c:pt idx="19">
                  <c:v>0.03894642482268638</c:v>
                </c:pt>
                <c:pt idx="20">
                  <c:v>0.03972535331914011</c:v>
                </c:pt>
                <c:pt idx="21">
                  <c:v>0.04051986038552291</c:v>
                </c:pt>
                <c:pt idx="22">
                  <c:v>0.04133025759323337</c:v>
                </c:pt>
                <c:pt idx="23">
                  <c:v>0.042156862745098035</c:v>
                </c:pt>
                <c:pt idx="24">
                  <c:v>0.043</c:v>
                </c:pt>
                <c:pt idx="26">
                  <c:v>0.026734023981370317</c:v>
                </c:pt>
                <c:pt idx="27">
                  <c:v>0.026145085508627038</c:v>
                </c:pt>
                <c:pt idx="28">
                  <c:v>0.026145085508627038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description!$AK$17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description!$AJ$20:$AJ$48</c:f>
              <c:numCache>
                <c:ptCount val="29"/>
                <c:pt idx="0">
                  <c:v>552460.9223358129</c:v>
                </c:pt>
                <c:pt idx="1">
                  <c:v>248522.74738191516</c:v>
                </c:pt>
                <c:pt idx="2">
                  <c:v>152802.23469650315</c:v>
                </c:pt>
                <c:pt idx="3">
                  <c:v>106314.21401824107</c:v>
                </c:pt>
                <c:pt idx="4">
                  <c:v>79076.28435289102</c:v>
                </c:pt>
                <c:pt idx="5">
                  <c:v>61331.75413788365</c:v>
                </c:pt>
                <c:pt idx="6">
                  <c:v>48956.15969264353</c:v>
                </c:pt>
                <c:pt idx="7">
                  <c:v>39905.945155707974</c:v>
                </c:pt>
                <c:pt idx="8">
                  <c:v>33053.32666008794</c:v>
                </c:pt>
                <c:pt idx="9">
                  <c:v>27725.183468118077</c:v>
                </c:pt>
                <c:pt idx="10">
                  <c:v>23495.076775894882</c:v>
                </c:pt>
                <c:pt idx="11">
                  <c:v>20079.868306796816</c:v>
                </c:pt>
                <c:pt idx="12">
                  <c:v>17284.309704655574</c:v>
                </c:pt>
                <c:pt idx="13">
                  <c:v>14969.496531547373</c:v>
                </c:pt>
                <c:pt idx="14">
                  <c:v>13033.997875794472</c:v>
                </c:pt>
                <c:pt idx="15">
                  <c:v>11402.091769865578</c:v>
                </c:pt>
                <c:pt idx="16">
                  <c:v>10016.16858244715</c:v>
                </c:pt>
                <c:pt idx="17">
                  <c:v>8831.675365710193</c:v>
                </c:pt>
                <c:pt idx="18">
                  <c:v>7813.66173266376</c:v>
                </c:pt>
                <c:pt idx="19">
                  <c:v>6934.364922232742</c:v>
                </c:pt>
                <c:pt idx="20">
                  <c:v>6171.486641265768</c:v>
                </c:pt>
                <c:pt idx="21">
                  <c:v>5506.940995079654</c:v>
                </c:pt>
                <c:pt idx="22">
                  <c:v>4925.929801269807</c:v>
                </c:pt>
                <c:pt idx="23">
                  <c:v>4416.249611321889</c:v>
                </c:pt>
                <c:pt idx="24">
                  <c:v>3967.765455307055</c:v>
                </c:pt>
                <c:pt idx="26">
                  <c:v>552460.9223358129</c:v>
                </c:pt>
                <c:pt idx="27">
                  <c:v>856314.4296205101</c:v>
                </c:pt>
                <c:pt idx="28">
                  <c:v>100000000</c:v>
                </c:pt>
              </c:numCache>
            </c:numRef>
          </c:xVal>
          <c:yVal>
            <c:numRef>
              <c:f>description!$AK$20:$AK$48</c:f>
              <c:numCache>
                <c:ptCount val="29"/>
                <c:pt idx="0">
                  <c:v>0.02016928318991987</c:v>
                </c:pt>
                <c:pt idx="1">
                  <c:v>0.020774361685617467</c:v>
                </c:pt>
                <c:pt idx="2">
                  <c:v>0.02139759253618599</c:v>
                </c:pt>
                <c:pt idx="3">
                  <c:v>0.022039520312271573</c:v>
                </c:pt>
                <c:pt idx="4">
                  <c:v>0.02270070592163972</c:v>
                </c:pt>
                <c:pt idx="5">
                  <c:v>0.023381727099288912</c:v>
                </c:pt>
                <c:pt idx="6">
                  <c:v>0.02408317891226758</c:v>
                </c:pt>
                <c:pt idx="7">
                  <c:v>0.02480567427963561</c:v>
                </c:pt>
                <c:pt idx="8">
                  <c:v>0.02554984450802468</c:v>
                </c:pt>
                <c:pt idx="9">
                  <c:v>0.02631633984326542</c:v>
                </c:pt>
                <c:pt idx="10">
                  <c:v>0.027105830038563383</c:v>
                </c:pt>
                <c:pt idx="11">
                  <c:v>0.027919004939720285</c:v>
                </c:pt>
                <c:pt idx="12">
                  <c:v>0.028756575087911896</c:v>
                </c:pt>
                <c:pt idx="13">
                  <c:v>0.029619272340549254</c:v>
                </c:pt>
                <c:pt idx="14">
                  <c:v>0.03050785051076573</c:v>
                </c:pt>
                <c:pt idx="15">
                  <c:v>0.031423086026088703</c:v>
                </c:pt>
                <c:pt idx="16">
                  <c:v>0.032365778606871363</c:v>
                </c:pt>
                <c:pt idx="17">
                  <c:v>0.0333367519650775</c:v>
                </c:pt>
                <c:pt idx="18">
                  <c:v>0.034336854524029826</c:v>
                </c:pt>
                <c:pt idx="19">
                  <c:v>0.03536696015975072</c:v>
                </c:pt>
                <c:pt idx="20">
                  <c:v>0.03642796896454324</c:v>
                </c:pt>
                <c:pt idx="21">
                  <c:v>0.03752080803347954</c:v>
                </c:pt>
                <c:pt idx="22">
                  <c:v>0.03864643227448393</c:v>
                </c:pt>
                <c:pt idx="23">
                  <c:v>0.039805825242718446</c:v>
                </c:pt>
                <c:pt idx="24">
                  <c:v>0.041</c:v>
                </c:pt>
                <c:pt idx="26">
                  <c:v>0.02016928318991987</c:v>
                </c:pt>
                <c:pt idx="27">
                  <c:v>0.01962257144440472</c:v>
                </c:pt>
                <c:pt idx="28">
                  <c:v>0.01962257144440472</c:v>
                </c:pt>
              </c:numCache>
            </c:numRef>
          </c:yVal>
          <c:smooth val="1"/>
        </c:ser>
        <c:ser>
          <c:idx val="5"/>
          <c:order val="8"/>
          <c:tx>
            <c:strRef>
              <c:f>description!$AN$17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description!$AM$20:$AM$48</c:f>
              <c:numCache>
                <c:ptCount val="29"/>
                <c:pt idx="0">
                  <c:v>12628526.532629013</c:v>
                </c:pt>
                <c:pt idx="1">
                  <c:v>2174187.226593385</c:v>
                </c:pt>
                <c:pt idx="2">
                  <c:v>1042096.4923492356</c:v>
                </c:pt>
                <c:pt idx="3">
                  <c:v>621575.9681234466</c:v>
                </c:pt>
                <c:pt idx="4">
                  <c:v>409010.3037349089</c:v>
                </c:pt>
                <c:pt idx="5">
                  <c:v>284640.3736625252</c:v>
                </c:pt>
                <c:pt idx="6">
                  <c:v>205415.76685257538</c:v>
                </c:pt>
                <c:pt idx="7">
                  <c:v>152087.9659376492</c:v>
                </c:pt>
                <c:pt idx="8">
                  <c:v>114785.73615166557</c:v>
                </c:pt>
                <c:pt idx="9">
                  <c:v>87946.63672327137</c:v>
                </c:pt>
                <c:pt idx="10">
                  <c:v>68214.51042056081</c:v>
                </c:pt>
                <c:pt idx="11">
                  <c:v>53457.52144969617</c:v>
                </c:pt>
                <c:pt idx="12">
                  <c:v>42266.61598707153</c:v>
                </c:pt>
                <c:pt idx="13">
                  <c:v>33680.77961123337</c:v>
                </c:pt>
                <c:pt idx="14">
                  <c:v>27027.829587657223</c:v>
                </c:pt>
                <c:pt idx="15">
                  <c:v>21827.817632255552</c:v>
                </c:pt>
                <c:pt idx="16">
                  <c:v>17732.146490791576</c:v>
                </c:pt>
                <c:pt idx="17">
                  <c:v>14483.95485584763</c:v>
                </c:pt>
                <c:pt idx="18">
                  <c:v>11891.639987665569</c:v>
                </c:pt>
                <c:pt idx="19">
                  <c:v>9810.753672216817</c:v>
                </c:pt>
                <c:pt idx="20">
                  <c:v>8131.380562439046</c:v>
                </c:pt>
                <c:pt idx="21">
                  <c:v>6769.190516111479</c:v>
                </c:pt>
                <c:pt idx="22">
                  <c:v>5659.003185924188</c:v>
                </c:pt>
                <c:pt idx="23">
                  <c:v>4750.1008715618045</c:v>
                </c:pt>
                <c:pt idx="24">
                  <c:v>4002.776769595233</c:v>
                </c:pt>
                <c:pt idx="26">
                  <c:v>12628526.532629013</c:v>
                </c:pt>
                <c:pt idx="27">
                  <c:v>19574216.125574972</c:v>
                </c:pt>
                <c:pt idx="28">
                  <c:v>100000000</c:v>
                </c:pt>
              </c:numCache>
            </c:numRef>
          </c:xVal>
          <c:yVal>
            <c:numRef>
              <c:f>description!$AN$20:$AN$48</c:f>
              <c:numCache>
                <c:ptCount val="29"/>
                <c:pt idx="0">
                  <c:v>0.012122572961195448</c:v>
                </c:pt>
                <c:pt idx="1">
                  <c:v>0.012740824182216415</c:v>
                </c:pt>
                <c:pt idx="2">
                  <c:v>0.013390606215509452</c:v>
                </c:pt>
                <c:pt idx="3">
                  <c:v>0.014073527132500433</c:v>
                </c:pt>
                <c:pt idx="4">
                  <c:v>0.014791277016257954</c:v>
                </c:pt>
                <c:pt idx="5">
                  <c:v>0.015545632144087109</c:v>
                </c:pt>
                <c:pt idx="6">
                  <c:v>0.01633845938343555</c:v>
                </c:pt>
                <c:pt idx="7">
                  <c:v>0.01717172081199076</c:v>
                </c:pt>
                <c:pt idx="8">
                  <c:v>0.01804747857340229</c:v>
                </c:pt>
                <c:pt idx="9">
                  <c:v>0.018967899980645804</c:v>
                </c:pt>
                <c:pt idx="10">
                  <c:v>0.01993526287965874</c:v>
                </c:pt>
                <c:pt idx="11">
                  <c:v>0.020951961286521336</c:v>
                </c:pt>
                <c:pt idx="12">
                  <c:v>0.022020511312133922</c:v>
                </c:pt>
                <c:pt idx="13">
                  <c:v>0.02314355738905275</c:v>
                </c:pt>
                <c:pt idx="14">
                  <c:v>0.02432387881589444</c:v>
                </c:pt>
                <c:pt idx="15">
                  <c:v>0.025564396635505054</c:v>
                </c:pt>
                <c:pt idx="16">
                  <c:v>0.026868180863915812</c:v>
                </c:pt>
                <c:pt idx="17">
                  <c:v>0.028238458087975517</c:v>
                </c:pt>
                <c:pt idx="18">
                  <c:v>0.029678619450462265</c:v>
                </c:pt>
                <c:pt idx="19">
                  <c:v>0.031192229042435838</c:v>
                </c:pt>
                <c:pt idx="20">
                  <c:v>0.032783032723600065</c:v>
                </c:pt>
                <c:pt idx="21">
                  <c:v>0.034454967392503665</c:v>
                </c:pt>
                <c:pt idx="22">
                  <c:v>0.03621217072952135</c:v>
                </c:pt>
                <c:pt idx="23">
                  <c:v>0.03805899143672693</c:v>
                </c:pt>
                <c:pt idx="24">
                  <c:v>0.04</c:v>
                </c:pt>
                <c:pt idx="26">
                  <c:v>0.012122572961195448</c:v>
                </c:pt>
                <c:pt idx="27">
                  <c:v>0.01197365149564789</c:v>
                </c:pt>
                <c:pt idx="28">
                  <c:v>0.01197365149564789</c:v>
                </c:pt>
              </c:numCache>
            </c:numRef>
          </c:yVal>
          <c:smooth val="1"/>
        </c:ser>
        <c:ser>
          <c:idx val="6"/>
          <c:order val="9"/>
          <c:tx>
            <c:strRef>
              <c:f>description!$AQ$17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description!$AP$20:$AP$48</c:f>
              <c:numCache>
                <c:ptCount val="29"/>
                <c:pt idx="0">
                  <c:v>2617727170.2179594</c:v>
                </c:pt>
                <c:pt idx="1">
                  <c:v>18959538.008028667</c:v>
                </c:pt>
                <c:pt idx="2">
                  <c:v>7481016.608956248</c:v>
                </c:pt>
                <c:pt idx="3">
                  <c:v>3902677.0218917974</c:v>
                </c:pt>
                <c:pt idx="4">
                  <c:v>2279649.210366779</c:v>
                </c:pt>
                <c:pt idx="5">
                  <c:v>1416298.9595121893</c:v>
                </c:pt>
                <c:pt idx="6">
                  <c:v>915268.3609575289</c:v>
                </c:pt>
                <c:pt idx="7">
                  <c:v>608254.3574982784</c:v>
                </c:pt>
                <c:pt idx="8">
                  <c:v>412991.03784157935</c:v>
                </c:pt>
                <c:pt idx="9">
                  <c:v>285354.9213854629</c:v>
                </c:pt>
                <c:pt idx="10">
                  <c:v>200123.54420564775</c:v>
                </c:pt>
                <c:pt idx="11">
                  <c:v>142205.08693077782</c:v>
                </c:pt>
                <c:pt idx="12">
                  <c:v>102256.61696403412</c:v>
                </c:pt>
                <c:pt idx="13">
                  <c:v>74339.79435608412</c:v>
                </c:pt>
                <c:pt idx="14">
                  <c:v>54599.680546169184</c:v>
                </c:pt>
                <c:pt idx="15">
                  <c:v>40489.624480992105</c:v>
                </c:pt>
                <c:pt idx="16">
                  <c:v>30301.928730591484</c:v>
                </c:pt>
                <c:pt idx="17">
                  <c:v>22876.373330946873</c:v>
                </c:pt>
                <c:pt idx="18">
                  <c:v>17415.394745259466</c:v>
                </c:pt>
                <c:pt idx="19">
                  <c:v>13364.83054330038</c:v>
                </c:pt>
                <c:pt idx="20">
                  <c:v>10335.808521285571</c:v>
                </c:pt>
                <c:pt idx="21">
                  <c:v>8052.908114520918</c:v>
                </c:pt>
                <c:pt idx="22">
                  <c:v>6319.350944591035</c:v>
                </c:pt>
                <c:pt idx="23">
                  <c:v>4993.375504630715</c:v>
                </c:pt>
                <c:pt idx="24">
                  <c:v>3972.0440986375525</c:v>
                </c:pt>
                <c:pt idx="26">
                  <c:v>2617727170.2179594</c:v>
                </c:pt>
                <c:pt idx="27">
                  <c:v>4057477113.837837</c:v>
                </c:pt>
                <c:pt idx="28">
                  <c:v>100000000</c:v>
                </c:pt>
              </c:numCache>
            </c:numRef>
          </c:xVal>
          <c:yVal>
            <c:numRef>
              <c:f>description!$AQ$20:$AQ$48</c:f>
              <c:numCache>
                <c:ptCount val="29"/>
                <c:pt idx="0">
                  <c:v>0.008064827197184994</c:v>
                </c:pt>
                <c:pt idx="1">
                  <c:v>0.008621300273790758</c:v>
                </c:pt>
                <c:pt idx="2">
                  <c:v>0.00921616999268232</c:v>
                </c:pt>
                <c:pt idx="3">
                  <c:v>0.0098520857221774</c:v>
                </c:pt>
                <c:pt idx="4">
                  <c:v>0.01053187963700764</c:v>
                </c:pt>
                <c:pt idx="5">
                  <c:v>0.011258579331961166</c:v>
                </c:pt>
                <c:pt idx="6">
                  <c:v>0.012035421305866486</c:v>
                </c:pt>
                <c:pt idx="7">
                  <c:v>0.012865865375971272</c:v>
                </c:pt>
                <c:pt idx="8">
                  <c:v>0.013753610086913289</c:v>
                </c:pt>
                <c:pt idx="9">
                  <c:v>0.014702609182910305</c:v>
                </c:pt>
                <c:pt idx="10">
                  <c:v>0.015717089216531116</c:v>
                </c:pt>
                <c:pt idx="11">
                  <c:v>0.01680156837247176</c:v>
                </c:pt>
                <c:pt idx="12">
                  <c:v>0.01796087659017231</c:v>
                </c:pt>
                <c:pt idx="13">
                  <c:v>0.0192001770748942</c:v>
                </c:pt>
                <c:pt idx="14">
                  <c:v>0.020524989293061898</c:v>
                </c:pt>
                <c:pt idx="15">
                  <c:v>0.02194121355428317</c:v>
                </c:pt>
                <c:pt idx="16">
                  <c:v>0.023455157289528707</c:v>
                </c:pt>
                <c:pt idx="17">
                  <c:v>0.025073563142506188</c:v>
                </c:pt>
                <c:pt idx="18">
                  <c:v>0.026803638999339113</c:v>
                </c:pt>
                <c:pt idx="19">
                  <c:v>0.02865309009029351</c:v>
                </c:pt>
                <c:pt idx="20">
                  <c:v>0.03063015330652376</c:v>
                </c:pt>
                <c:pt idx="21">
                  <c:v>0.0327436338846739</c:v>
                </c:pt>
                <c:pt idx="22">
                  <c:v>0.03500294462271639</c:v>
                </c:pt>
                <c:pt idx="23">
                  <c:v>0.03741814780168382</c:v>
                </c:pt>
                <c:pt idx="24">
                  <c:v>0.04</c:v>
                </c:pt>
                <c:pt idx="26">
                  <c:v>0.008064827197184994</c:v>
                </c:pt>
                <c:pt idx="27">
                  <c:v>0.008059855518852254</c:v>
                </c:pt>
                <c:pt idx="28">
                  <c:v>0.008059855518852254</c:v>
                </c:pt>
              </c:numCache>
            </c:numRef>
          </c:yVal>
          <c:smooth val="1"/>
        </c:ser>
        <c:ser>
          <c:idx val="10"/>
          <c:order val="1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description!$AA$9:$AA$10</c:f>
              <c:numCache>
                <c:ptCount val="2"/>
                <c:pt idx="0">
                  <c:v>100</c:v>
                </c:pt>
                <c:pt idx="1">
                  <c:v>2000</c:v>
                </c:pt>
              </c:numCache>
            </c:numRef>
          </c:xVal>
          <c:yVal>
            <c:numRef>
              <c:f>description!$AB$9:$AB$10</c:f>
              <c:numCache>
                <c:ptCount val="2"/>
                <c:pt idx="0">
                  <c:v>0.64</c:v>
                </c:pt>
                <c:pt idx="1">
                  <c:v>0.032</c:v>
                </c:pt>
              </c:numCache>
            </c:numRef>
          </c:yVal>
          <c:smooth val="1"/>
        </c:ser>
        <c:ser>
          <c:idx val="11"/>
          <c:order val="11"/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description!$AA$12:$AA$13</c:f>
              <c:numCache>
                <c:ptCount val="2"/>
                <c:pt idx="0">
                  <c:v>2000</c:v>
                </c:pt>
                <c:pt idx="1">
                  <c:v>6000</c:v>
                </c:pt>
              </c:numCache>
            </c:numRef>
          </c:xVal>
          <c:yVal>
            <c:numRef>
              <c:f>description!$AB$12:$AB$13</c:f>
              <c:numCache>
                <c:ptCount val="2"/>
                <c:pt idx="0">
                  <c:v>0.032</c:v>
                </c:pt>
                <c:pt idx="1">
                  <c:v>0.010666666666666666</c:v>
                </c:pt>
              </c:numCache>
            </c:numRef>
          </c:yVal>
          <c:smooth val="1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'Colebrook-White'!$K$5</c:f>
              <c:numCache>
                <c:ptCount val="1"/>
                <c:pt idx="0">
                  <c:v>89171.97452229299</c:v>
                </c:pt>
              </c:numCache>
            </c:numRef>
          </c:xVal>
          <c:yVal>
            <c:numRef>
              <c:f>'Colebrook-White'!$L$5</c:f>
              <c:numCache>
                <c:ptCount val="1"/>
                <c:pt idx="0">
                  <c:v>0.018917779928472184</c:v>
                </c:pt>
              </c:numCache>
            </c:numRef>
          </c:yVal>
          <c:smooth val="1"/>
        </c:ser>
        <c:ser>
          <c:idx val="13"/>
          <c:order val="13"/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'Colebrook-White'!$N$5:$N$9</c:f>
              <c:numCache>
                <c:ptCount val="5"/>
                <c:pt idx="0">
                  <c:v>100</c:v>
                </c:pt>
                <c:pt idx="1">
                  <c:v>89171.97452229299</c:v>
                </c:pt>
                <c:pt idx="3">
                  <c:v>89171.97452229299</c:v>
                </c:pt>
                <c:pt idx="4">
                  <c:v>89171.97452229299</c:v>
                </c:pt>
              </c:numCache>
            </c:numRef>
          </c:xVal>
          <c:yVal>
            <c:numRef>
              <c:f>'Colebrook-White'!$O$5:$O$9</c:f>
              <c:numCache>
                <c:ptCount val="5"/>
                <c:pt idx="0">
                  <c:v>0.018917779928472184</c:v>
                </c:pt>
                <c:pt idx="1">
                  <c:v>0.018917779928472184</c:v>
                </c:pt>
                <c:pt idx="3">
                  <c:v>0.018917779928472184</c:v>
                </c:pt>
                <c:pt idx="4">
                  <c:v>1E-05</c:v>
                </c:pt>
              </c:numCache>
            </c:numRef>
          </c:yVal>
          <c:smooth val="1"/>
        </c:ser>
        <c:ser>
          <c:idx val="14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'Colebrook-White'!$R$6:$BX$6</c:f>
              <c:numCache>
                <c:ptCount val="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3512465.5973987794</c:v>
                </c:pt>
                <c:pt idx="16">
                  <c:v>1387754.308467597</c:v>
                </c:pt>
                <c:pt idx="17">
                  <c:v>777318.4284214751</c:v>
                </c:pt>
                <c:pt idx="18">
                  <c:v>496379.06413510034</c:v>
                </c:pt>
                <c:pt idx="19">
                  <c:v>339679.01307680015</c:v>
                </c:pt>
                <c:pt idx="20">
                  <c:v>242627.6450387366</c:v>
                </c:pt>
                <c:pt idx="21">
                  <c:v>178457.76733760568</c:v>
                </c:pt>
                <c:pt idx="22">
                  <c:v>134102.99264406512</c:v>
                </c:pt>
                <c:pt idx="23">
                  <c:v>102449.00596345088</c:v>
                </c:pt>
                <c:pt idx="24">
                  <c:v>79308.97951000826</c:v>
                </c:pt>
                <c:pt idx="25">
                  <c:v>62072.315878038</c:v>
                </c:pt>
                <c:pt idx="26">
                  <c:v>49037.54279157598</c:v>
                </c:pt>
                <c:pt idx="27">
                  <c:v>39056.54596223388</c:v>
                </c:pt>
                <c:pt idx="28">
                  <c:v>31332.819458449376</c:v>
                </c:pt>
                <c:pt idx="29">
                  <c:v>25301.199286084564</c:v>
                </c:pt>
                <c:pt idx="30">
                  <c:v>20553.15445347858</c:v>
                </c:pt>
                <c:pt idx="31">
                  <c:v>16788.75445325611</c:v>
                </c:pt>
                <c:pt idx="32">
                  <c:v>13784.880981592123</c:v>
                </c:pt>
                <c:pt idx="33">
                  <c:v>11373.667865571426</c:v>
                </c:pt>
                <c:pt idx="34">
                  <c:v>9427.569122633106</c:v>
                </c:pt>
                <c:pt idx="35">
                  <c:v>7848.830269171534</c:v>
                </c:pt>
                <c:pt idx="36">
                  <c:v>6561.948535782121</c:v>
                </c:pt>
                <c:pt idx="37">
                  <c:v>5508.200337235515</c:v>
                </c:pt>
                <c:pt idx="38">
                  <c:v>4641.622149091637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</c:numCache>
            </c:numRef>
          </c:xVal>
          <c:yVal>
            <c:numRef>
              <c:f>'Colebrook-White'!$R$7:$BX$7</c:f>
              <c:numCache>
                <c:ptCount val="59"/>
                <c:pt idx="0">
                  <c:v>0.006</c:v>
                </c:pt>
                <c:pt idx="1">
                  <c:v>0.0063</c:v>
                </c:pt>
                <c:pt idx="2">
                  <c:v>0.006615</c:v>
                </c:pt>
                <c:pt idx="3">
                  <c:v>0.0069457500000000005</c:v>
                </c:pt>
                <c:pt idx="4">
                  <c:v>0.007293037500000001</c:v>
                </c:pt>
                <c:pt idx="5">
                  <c:v>0.007657689375000001</c:v>
                </c:pt>
                <c:pt idx="6">
                  <c:v>0.008040573843750001</c:v>
                </c:pt>
                <c:pt idx="7">
                  <c:v>0.008442602535937501</c:v>
                </c:pt>
                <c:pt idx="8">
                  <c:v>0.008864732662734376</c:v>
                </c:pt>
                <c:pt idx="9">
                  <c:v>0.009307969295871096</c:v>
                </c:pt>
                <c:pt idx="10">
                  <c:v>0.009773367760664651</c:v>
                </c:pt>
                <c:pt idx="11">
                  <c:v>0.010262036148697884</c:v>
                </c:pt>
                <c:pt idx="12">
                  <c:v>0.01077513795613278</c:v>
                </c:pt>
                <c:pt idx="13">
                  <c:v>0.011313894853939419</c:v>
                </c:pt>
                <c:pt idx="14">
                  <c:v>0.01187958959663639</c:v>
                </c:pt>
                <c:pt idx="15">
                  <c:v>0.01247356907646821</c:v>
                </c:pt>
                <c:pt idx="16">
                  <c:v>0.013097247530291622</c:v>
                </c:pt>
                <c:pt idx="17">
                  <c:v>0.013752109906806205</c:v>
                </c:pt>
                <c:pt idx="18">
                  <c:v>0.014439715402146516</c:v>
                </c:pt>
                <c:pt idx="19">
                  <c:v>0.015161701172253843</c:v>
                </c:pt>
                <c:pt idx="20">
                  <c:v>0.015919786230866536</c:v>
                </c:pt>
                <c:pt idx="21">
                  <c:v>0.016715775542409862</c:v>
                </c:pt>
                <c:pt idx="22">
                  <c:v>0.017551564319530356</c:v>
                </c:pt>
                <c:pt idx="23">
                  <c:v>0.018429142535506874</c:v>
                </c:pt>
                <c:pt idx="24">
                  <c:v>0.019350599662282218</c:v>
                </c:pt>
                <c:pt idx="25">
                  <c:v>0.02031812964539633</c:v>
                </c:pt>
                <c:pt idx="26">
                  <c:v>0.02133403612766615</c:v>
                </c:pt>
                <c:pt idx="27">
                  <c:v>0.022400737934049456</c:v>
                </c:pt>
                <c:pt idx="28">
                  <c:v>0.02352077483075193</c:v>
                </c:pt>
                <c:pt idx="29">
                  <c:v>0.024696813572289526</c:v>
                </c:pt>
                <c:pt idx="30">
                  <c:v>0.025931654250904004</c:v>
                </c:pt>
                <c:pt idx="31">
                  <c:v>0.027228236963449205</c:v>
                </c:pt>
                <c:pt idx="32">
                  <c:v>0.028589648811621668</c:v>
                </c:pt>
                <c:pt idx="33">
                  <c:v>0.030019131252202753</c:v>
                </c:pt>
                <c:pt idx="34">
                  <c:v>0.03152008781481289</c:v>
                </c:pt>
                <c:pt idx="35">
                  <c:v>0.03309609220555354</c:v>
                </c:pt>
                <c:pt idx="36">
                  <c:v>0.03475089681583122</c:v>
                </c:pt>
                <c:pt idx="37">
                  <c:v>0.03648844165662278</c:v>
                </c:pt>
                <c:pt idx="38">
                  <c:v>0.038312863739453924</c:v>
                </c:pt>
                <c:pt idx="39">
                  <c:v>0.04022850692642662</c:v>
                </c:pt>
                <c:pt idx="40">
                  <c:v>0.04223993227274795</c:v>
                </c:pt>
                <c:pt idx="41">
                  <c:v>0.04435192888638535</c:v>
                </c:pt>
                <c:pt idx="42">
                  <c:v>0.046569525330704624</c:v>
                </c:pt>
                <c:pt idx="43">
                  <c:v>0.04889800159723986</c:v>
                </c:pt>
                <c:pt idx="44">
                  <c:v>0.05134290167710185</c:v>
                </c:pt>
                <c:pt idx="45">
                  <c:v>0.053910046760956946</c:v>
                </c:pt>
                <c:pt idx="46">
                  <c:v>0.056605549099004795</c:v>
                </c:pt>
                <c:pt idx="47">
                  <c:v>0.05943582655395504</c:v>
                </c:pt>
                <c:pt idx="48">
                  <c:v>0.06240761788165279</c:v>
                </c:pt>
                <c:pt idx="49">
                  <c:v>0.06552799877573544</c:v>
                </c:pt>
                <c:pt idx="50">
                  <c:v>0.06880439871452221</c:v>
                </c:pt>
                <c:pt idx="51">
                  <c:v>0.07224461865024832</c:v>
                </c:pt>
                <c:pt idx="52">
                  <c:v>0.07585684958276075</c:v>
                </c:pt>
                <c:pt idx="53">
                  <c:v>0.07964969206189879</c:v>
                </c:pt>
                <c:pt idx="54">
                  <c:v>0.08363217666499373</c:v>
                </c:pt>
                <c:pt idx="55">
                  <c:v>0.08781378549824342</c:v>
                </c:pt>
                <c:pt idx="56">
                  <c:v>0.0922044747731556</c:v>
                </c:pt>
                <c:pt idx="57">
                  <c:v>0.09681469851181339</c:v>
                </c:pt>
                <c:pt idx="58">
                  <c:v>0.10165543343740406</c:v>
                </c:pt>
              </c:numCache>
            </c:numRef>
          </c:yVal>
          <c:smooth val="1"/>
        </c:ser>
        <c:ser>
          <c:idx val="16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'Colebrook-White'!$K$7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'Colebrook-White'!$L$7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5"/>
          <c:order val="16"/>
          <c:tx>
            <c:strRef>
              <c:f>'Colebrook-White'!$H$7</c:f>
              <c:strCache>
                <c:ptCount val="1"/>
                <c:pt idx="0">
                  <c:v>0.00010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'Colebrook-White'!$R$10:$T$10</c:f>
              <c:numCache>
                <c:ptCount val="3"/>
                <c:pt idx="0">
                  <c:v>3512465.5973987794</c:v>
                </c:pt>
                <c:pt idx="1">
                  <c:v>17562327.986993898</c:v>
                </c:pt>
                <c:pt idx="2">
                  <c:v>100000000</c:v>
                </c:pt>
              </c:numCache>
            </c:numRef>
          </c:xVal>
          <c:yVal>
            <c:numRef>
              <c:f>'Colebrook-White'!$R$11:$T$11</c:f>
              <c:numCache>
                <c:ptCount val="3"/>
                <c:pt idx="0">
                  <c:v>0.01247356907646821</c:v>
                </c:pt>
                <c:pt idx="1">
                  <c:v>0.01197365149564789</c:v>
                </c:pt>
                <c:pt idx="2">
                  <c:v>0.01197365149564789</c:v>
                </c:pt>
              </c:numCache>
            </c:numRef>
          </c:yVal>
          <c:smooth val="1"/>
        </c:ser>
        <c:axId val="10045141"/>
        <c:axId val="23297406"/>
      </c:scatterChart>
      <c:valAx>
        <c:axId val="10045141"/>
        <c:scaling>
          <c:logBase val="10"/>
          <c:orientation val="minMax"/>
          <c:max val="1000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297406"/>
        <c:crossesAt val="0.001"/>
        <c:crossBetween val="midCat"/>
        <c:dispUnits/>
      </c:valAx>
      <c:valAx>
        <c:axId val="23297406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</a:t>
                </a:r>
              </a:p>
            </c:rich>
          </c:tx>
          <c:layout>
            <c:manualLayout>
              <c:xMode val="factor"/>
              <c:yMode val="factor"/>
              <c:x val="-0.005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875"/>
          <c:y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68"/>
          <c:h val="0.95975"/>
        </c:manualLayout>
      </c:layout>
      <c:scatterChart>
        <c:scatterStyle val="smooth"/>
        <c:varyColors val="0"/>
        <c:ser>
          <c:idx val="0"/>
          <c:order val="0"/>
          <c:tx>
            <c:strRef>
              <c:f>description!$AA$17:$AB$17</c:f>
              <c:strCache>
                <c:ptCount val="1"/>
                <c:pt idx="0">
                  <c:v>eps/D =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description!$AA$20:$AA$44</c:f>
              <c:numCache>
                <c:ptCount val="25"/>
                <c:pt idx="0">
                  <c:v>2763292698.7391543</c:v>
                </c:pt>
                <c:pt idx="1">
                  <c:v>1136566158.5574565</c:v>
                </c:pt>
                <c:pt idx="2">
                  <c:v>486132915.7049539</c:v>
                </c:pt>
                <c:pt idx="3">
                  <c:v>215832591.35823616</c:v>
                </c:pt>
                <c:pt idx="4">
                  <c:v>99294850.816381</c:v>
                </c:pt>
                <c:pt idx="5">
                  <c:v>47256901.135099836</c:v>
                </c:pt>
                <c:pt idx="6">
                  <c:v>23229888.20498718</c:v>
                </c:pt>
                <c:pt idx="7">
                  <c:v>11776570.236089911</c:v>
                </c:pt>
                <c:pt idx="8">
                  <c:v>6148330.887555784</c:v>
                </c:pt>
                <c:pt idx="9">
                  <c:v>3301172.4128733356</c:v>
                </c:pt>
                <c:pt idx="10">
                  <c:v>1820477.3165600668</c:v>
                </c:pt>
                <c:pt idx="11">
                  <c:v>1029836.5682311183</c:v>
                </c:pt>
                <c:pt idx="12">
                  <c:v>596901.04163383</c:v>
                </c:pt>
                <c:pt idx="13">
                  <c:v>354075.87686809554</c:v>
                </c:pt>
                <c:pt idx="14">
                  <c:v>214724.7726620877</c:v>
                </c:pt>
                <c:pt idx="15">
                  <c:v>132988.28809129936</c:v>
                </c:pt>
                <c:pt idx="16">
                  <c:v>84035.82469966105</c:v>
                </c:pt>
                <c:pt idx="17">
                  <c:v>54128.94544849816</c:v>
                </c:pt>
                <c:pt idx="18">
                  <c:v>35507.637811023924</c:v>
                </c:pt>
                <c:pt idx="19">
                  <c:v>23701.30201981311</c:v>
                </c:pt>
                <c:pt idx="20">
                  <c:v>16085.297443679743</c:v>
                </c:pt>
                <c:pt idx="21">
                  <c:v>11090.652196915884</c:v>
                </c:pt>
                <c:pt idx="22">
                  <c:v>7763.1219942527805</c:v>
                </c:pt>
                <c:pt idx="23">
                  <c:v>5512.672454187288</c:v>
                </c:pt>
                <c:pt idx="24">
                  <c:v>3968.658463511319</c:v>
                </c:pt>
              </c:numCache>
            </c:numRef>
          </c:xVal>
          <c:yVal>
            <c:numRef>
              <c:f>description!$AB$20:$AB$44</c:f>
              <c:numCache>
                <c:ptCount val="25"/>
                <c:pt idx="0">
                  <c:v>0.004061023919790819</c:v>
                </c:pt>
                <c:pt idx="1">
                  <c:v>0.004467126311769901</c:v>
                </c:pt>
                <c:pt idx="2">
                  <c:v>0.004913838942946891</c:v>
                </c:pt>
                <c:pt idx="3">
                  <c:v>0.00540522283724158</c:v>
                </c:pt>
                <c:pt idx="4">
                  <c:v>0.005945745120965739</c:v>
                </c:pt>
                <c:pt idx="5">
                  <c:v>0.006540319633062313</c:v>
                </c:pt>
                <c:pt idx="6">
                  <c:v>0.007194351596368545</c:v>
                </c:pt>
                <c:pt idx="7">
                  <c:v>0.0079137867560054</c:v>
                </c:pt>
                <c:pt idx="8">
                  <c:v>0.008705165431605941</c:v>
                </c:pt>
                <c:pt idx="9">
                  <c:v>0.009575681974766536</c:v>
                </c:pt>
                <c:pt idx="10">
                  <c:v>0.01053325017224319</c:v>
                </c:pt>
                <c:pt idx="11">
                  <c:v>0.01158657518946751</c:v>
                </c:pt>
                <c:pt idx="12">
                  <c:v>0.012745232708414262</c:v>
                </c:pt>
                <c:pt idx="13">
                  <c:v>0.014019755979255689</c:v>
                </c:pt>
                <c:pt idx="14">
                  <c:v>0.015421731577181259</c:v>
                </c:pt>
                <c:pt idx="15">
                  <c:v>0.016963904734899386</c:v>
                </c:pt>
                <c:pt idx="16">
                  <c:v>0.018660295208389327</c:v>
                </c:pt>
                <c:pt idx="17">
                  <c:v>0.02052632472922826</c:v>
                </c:pt>
                <c:pt idx="18">
                  <c:v>0.022578957202151088</c:v>
                </c:pt>
                <c:pt idx="19">
                  <c:v>0.024836852922366197</c:v>
                </c:pt>
                <c:pt idx="20">
                  <c:v>0.02732053821460282</c:v>
                </c:pt>
                <c:pt idx="21">
                  <c:v>0.030052592036063103</c:v>
                </c:pt>
                <c:pt idx="22">
                  <c:v>0.033057851239669415</c:v>
                </c:pt>
                <c:pt idx="23">
                  <c:v>0.03636363636363636</c:v>
                </c:pt>
                <c:pt idx="24">
                  <c:v>0.04</c:v>
                </c:pt>
              </c:numCache>
            </c:numRef>
          </c:yVal>
          <c:smooth val="1"/>
        </c:ser>
        <c:ser>
          <c:idx val="8"/>
          <c:order val="1"/>
          <c:tx>
            <c:strRef>
              <c:f>description!$AW$17</c:f>
              <c:strCache>
                <c:ptCount val="1"/>
                <c:pt idx="0">
                  <c:v>0.05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description!$AV$20:$AV$48</c:f>
              <c:numCache>
                <c:ptCount val="29"/>
                <c:pt idx="0">
                  <c:v>116748.43247264609</c:v>
                </c:pt>
                <c:pt idx="1">
                  <c:v>55775.08750312946</c:v>
                </c:pt>
                <c:pt idx="2">
                  <c:v>36540.02380421669</c:v>
                </c:pt>
                <c:pt idx="3">
                  <c:v>27114.86963913239</c:v>
                </c:pt>
                <c:pt idx="4">
                  <c:v>21520.089070775968</c:v>
                </c:pt>
                <c:pt idx="5">
                  <c:v>17815.184321481254</c:v>
                </c:pt>
                <c:pt idx="6">
                  <c:v>15181.050265273687</c:v>
                </c:pt>
                <c:pt idx="7">
                  <c:v>13212.18024167242</c:v>
                </c:pt>
                <c:pt idx="8">
                  <c:v>11684.873629885937</c:v>
                </c:pt>
                <c:pt idx="9">
                  <c:v>10465.6158332715</c:v>
                </c:pt>
                <c:pt idx="10">
                  <c:v>9469.790900299633</c:v>
                </c:pt>
                <c:pt idx="11">
                  <c:v>8641.173345790481</c:v>
                </c:pt>
                <c:pt idx="12">
                  <c:v>7940.9426099022985</c:v>
                </c:pt>
                <c:pt idx="13">
                  <c:v>7341.432071451396</c:v>
                </c:pt>
                <c:pt idx="14">
                  <c:v>6822.391569301572</c:v>
                </c:pt>
                <c:pt idx="15">
                  <c:v>6368.658367063367</c:v>
                </c:pt>
                <c:pt idx="16">
                  <c:v>5968.65393179248</c:v>
                </c:pt>
                <c:pt idx="17">
                  <c:v>5613.383974456613</c:v>
                </c:pt>
                <c:pt idx="18">
                  <c:v>5295.755573102871</c:v>
                </c:pt>
                <c:pt idx="19">
                  <c:v>5010.099963827532</c:v>
                </c:pt>
                <c:pt idx="20">
                  <c:v>4751.8321871820735</c:v>
                </c:pt>
                <c:pt idx="21">
                  <c:v>4517.203889653405</c:v>
                </c:pt>
                <c:pt idx="22">
                  <c:v>4303.120831880018</c:v>
                </c:pt>
                <c:pt idx="23">
                  <c:v>4107.0061690642815</c:v>
                </c:pt>
                <c:pt idx="24">
                  <c:v>3926.696647122411</c:v>
                </c:pt>
                <c:pt idx="26">
                  <c:v>116748.43247264609</c:v>
                </c:pt>
                <c:pt idx="27">
                  <c:v>180960.07033260143</c:v>
                </c:pt>
                <c:pt idx="28">
                  <c:v>100000000</c:v>
                </c:pt>
              </c:numCache>
            </c:numRef>
          </c:xVal>
          <c:yVal>
            <c:numRef>
              <c:f>description!$AW$20:$AW$48</c:f>
              <c:numCache>
                <c:ptCount val="29"/>
                <c:pt idx="0">
                  <c:v>0.07165860224675855</c:v>
                </c:pt>
                <c:pt idx="1">
                  <c:v>0.07187357805349881</c:v>
                </c:pt>
                <c:pt idx="2">
                  <c:v>0.07208919878765929</c:v>
                </c:pt>
                <c:pt idx="3">
                  <c:v>0.07230546638402226</c:v>
                </c:pt>
                <c:pt idx="4">
                  <c:v>0.07252238278317431</c:v>
                </c:pt>
                <c:pt idx="5">
                  <c:v>0.07273994993152383</c:v>
                </c:pt>
                <c:pt idx="6">
                  <c:v>0.07295816978131839</c:v>
                </c:pt>
                <c:pt idx="7">
                  <c:v>0.07317704429066234</c:v>
                </c:pt>
                <c:pt idx="8">
                  <c:v>0.07339657542353431</c:v>
                </c:pt>
                <c:pt idx="9">
                  <c:v>0.0736167651498049</c:v>
                </c:pt>
                <c:pt idx="10">
                  <c:v>0.07383761544525431</c:v>
                </c:pt>
                <c:pt idx="11">
                  <c:v>0.07405912829159007</c:v>
                </c:pt>
                <c:pt idx="12">
                  <c:v>0.07428130567646483</c:v>
                </c:pt>
                <c:pt idx="13">
                  <c:v>0.07450414959349422</c:v>
                </c:pt>
                <c:pt idx="14">
                  <c:v>0.0747276620422747</c:v>
                </c:pt>
                <c:pt idx="15">
                  <c:v>0.07495184502840152</c:v>
                </c:pt>
                <c:pt idx="16">
                  <c:v>0.07517670056348671</c:v>
                </c:pt>
                <c:pt idx="17">
                  <c:v>0.07540223066517716</c:v>
                </c:pt>
                <c:pt idx="18">
                  <c:v>0.07562843735717269</c:v>
                </c:pt>
                <c:pt idx="19">
                  <c:v>0.07585532266924419</c:v>
                </c:pt>
                <c:pt idx="20">
                  <c:v>0.07608288863725192</c:v>
                </c:pt>
                <c:pt idx="21">
                  <c:v>0.07631113730316366</c:v>
                </c:pt>
                <c:pt idx="22">
                  <c:v>0.07654007071507314</c:v>
                </c:pt>
                <c:pt idx="23">
                  <c:v>0.07676969092721836</c:v>
                </c:pt>
                <c:pt idx="24">
                  <c:v>0.077</c:v>
                </c:pt>
                <c:pt idx="26">
                  <c:v>0.07165860224675855</c:v>
                </c:pt>
                <c:pt idx="27">
                  <c:v>0.07146101945021723</c:v>
                </c:pt>
                <c:pt idx="28">
                  <c:v>0.07146101945021723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description!$AT$17</c:f>
              <c:strCache>
                <c:ptCount val="1"/>
                <c:pt idx="0">
                  <c:v>0.02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description!$AS$20:$AS$48</c:f>
              <c:numCache>
                <c:ptCount val="29"/>
                <c:pt idx="0">
                  <c:v>48931.775391834744</c:v>
                </c:pt>
                <c:pt idx="1">
                  <c:v>35358.136064858794</c:v>
                </c:pt>
                <c:pt idx="2">
                  <c:v>27569.357068777954</c:v>
                </c:pt>
                <c:pt idx="3">
                  <c:v>22517.992289637215</c:v>
                </c:pt>
                <c:pt idx="4">
                  <c:v>18977.37207318017</c:v>
                </c:pt>
                <c:pt idx="5">
                  <c:v>16358.48614457989</c:v>
                </c:pt>
                <c:pt idx="6">
                  <c:v>14343.294705820248</c:v>
                </c:pt>
                <c:pt idx="7">
                  <c:v>12744.978416647631</c:v>
                </c:pt>
                <c:pt idx="8">
                  <c:v>11446.590769979508</c:v>
                </c:pt>
                <c:pt idx="9">
                  <c:v>10371.184701151862</c:v>
                </c:pt>
                <c:pt idx="10">
                  <c:v>9466.058360189103</c:v>
                </c:pt>
                <c:pt idx="11">
                  <c:v>8693.903151634882</c:v>
                </c:pt>
                <c:pt idx="12">
                  <c:v>8027.566091020809</c:v>
                </c:pt>
                <c:pt idx="13">
                  <c:v>7446.814468163974</c:v>
                </c:pt>
                <c:pt idx="14">
                  <c:v>6936.263266991594</c:v>
                </c:pt>
                <c:pt idx="15">
                  <c:v>6484.005360267551</c:v>
                </c:pt>
                <c:pt idx="16">
                  <c:v>6080.681335620244</c:v>
                </c:pt>
                <c:pt idx="17">
                  <c:v>5718.832697680083</c:v>
                </c:pt>
                <c:pt idx="18">
                  <c:v>5392.442594707438</c:v>
                </c:pt>
                <c:pt idx="19">
                  <c:v>5096.6035635183325</c:v>
                </c:pt>
                <c:pt idx="20">
                  <c:v>4827.273115143411</c:v>
                </c:pt>
                <c:pt idx="21">
                  <c:v>4581.091211036919</c:v>
                </c:pt>
                <c:pt idx="22">
                  <c:v>4355.24208632973</c:v>
                </c:pt>
                <c:pt idx="23">
                  <c:v>4147.34833873427</c:v>
                </c:pt>
                <c:pt idx="24">
                  <c:v>3955.388822302297</c:v>
                </c:pt>
                <c:pt idx="26">
                  <c:v>48931.775391834744</c:v>
                </c:pt>
                <c:pt idx="27">
                  <c:v>75844.25185734386</c:v>
                </c:pt>
                <c:pt idx="28">
                  <c:v>100000000</c:v>
                </c:pt>
              </c:numCache>
            </c:numRef>
          </c:xVal>
          <c:yVal>
            <c:numRef>
              <c:f>description!$AT$20:$AT$48</c:f>
              <c:numCache>
                <c:ptCount val="29"/>
                <c:pt idx="0">
                  <c:v>0.04937684292427894</c:v>
                </c:pt>
                <c:pt idx="1">
                  <c:v>0.04967310398182462</c:v>
                </c:pt>
                <c:pt idx="2">
                  <c:v>0.049971142605715564</c:v>
                </c:pt>
                <c:pt idx="3">
                  <c:v>0.05027096946134986</c:v>
                </c:pt>
                <c:pt idx="4">
                  <c:v>0.05057259527811796</c:v>
                </c:pt>
                <c:pt idx="5">
                  <c:v>0.05087603084978667</c:v>
                </c:pt>
                <c:pt idx="6">
                  <c:v>0.051181287034885385</c:v>
                </c:pt>
                <c:pt idx="7">
                  <c:v>0.051488374757094696</c:v>
                </c:pt>
                <c:pt idx="8">
                  <c:v>0.05179730500563726</c:v>
                </c:pt>
                <c:pt idx="9">
                  <c:v>0.052108088835671085</c:v>
                </c:pt>
                <c:pt idx="10">
                  <c:v>0.05242073736868511</c:v>
                </c:pt>
                <c:pt idx="11">
                  <c:v>0.052735261792897226</c:v>
                </c:pt>
                <c:pt idx="12">
                  <c:v>0.05305167336365461</c:v>
                </c:pt>
                <c:pt idx="13">
                  <c:v>0.053369983403836536</c:v>
                </c:pt>
                <c:pt idx="14">
                  <c:v>0.053690203304259554</c:v>
                </c:pt>
                <c:pt idx="15">
                  <c:v>0.05401234452408511</c:v>
                </c:pt>
                <c:pt idx="16">
                  <c:v>0.054336418591229625</c:v>
                </c:pt>
                <c:pt idx="17">
                  <c:v>0.054662437102777</c:v>
                </c:pt>
                <c:pt idx="18">
                  <c:v>0.054990411725393665</c:v>
                </c:pt>
                <c:pt idx="19">
                  <c:v>0.055320354195746026</c:v>
                </c:pt>
                <c:pt idx="20">
                  <c:v>0.0556522763209205</c:v>
                </c:pt>
                <c:pt idx="21">
                  <c:v>0.055986189978846024</c:v>
                </c:pt>
                <c:pt idx="22">
                  <c:v>0.0563221071187191</c:v>
                </c:pt>
                <c:pt idx="23">
                  <c:v>0.05666003976143141</c:v>
                </c:pt>
                <c:pt idx="24">
                  <c:v>0.057</c:v>
                </c:pt>
                <c:pt idx="26">
                  <c:v>0.04937684292427894</c:v>
                </c:pt>
                <c:pt idx="27">
                  <c:v>0.04858723752400783</c:v>
                </c:pt>
                <c:pt idx="28">
                  <c:v>0.04858723752400783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description!$AE$17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description!$AD$20:$AD$48</c:f>
              <c:numCache>
                <c:ptCount val="29"/>
                <c:pt idx="0">
                  <c:v>82948.47758980757</c:v>
                </c:pt>
                <c:pt idx="1">
                  <c:v>53389.58596900229</c:v>
                </c:pt>
                <c:pt idx="2">
                  <c:v>39012.490991866754</c:v>
                </c:pt>
                <c:pt idx="3">
                  <c:v>30516.413609585896</c:v>
                </c:pt>
                <c:pt idx="4">
                  <c:v>24909.378178382125</c:v>
                </c:pt>
                <c:pt idx="5">
                  <c:v>20934.63866798386</c:v>
                </c:pt>
                <c:pt idx="6">
                  <c:v>17972.017257134878</c:v>
                </c:pt>
                <c:pt idx="7">
                  <c:v>15680.161857769066</c:v>
                </c:pt>
                <c:pt idx="8">
                  <c:v>13855.682605330367</c:v>
                </c:pt>
                <c:pt idx="9">
                  <c:v>12369.849120088596</c:v>
                </c:pt>
                <c:pt idx="10">
                  <c:v>11137.213117588566</c:v>
                </c:pt>
                <c:pt idx="11">
                  <c:v>10098.828528692517</c:v>
                </c:pt>
                <c:pt idx="12">
                  <c:v>9212.716287529653</c:v>
                </c:pt>
                <c:pt idx="13">
                  <c:v>8448.16957060562</c:v>
                </c:pt>
                <c:pt idx="14">
                  <c:v>7782.208405170042</c:v>
                </c:pt>
                <c:pt idx="15">
                  <c:v>7197.293218395648</c:v>
                </c:pt>
                <c:pt idx="16">
                  <c:v>6679.804922098816</c:v>
                </c:pt>
                <c:pt idx="17">
                  <c:v>6219.007586140427</c:v>
                </c:pt>
                <c:pt idx="18">
                  <c:v>5806.323920252027</c:v>
                </c:pt>
                <c:pt idx="19">
                  <c:v>5434.8187809652445</c:v>
                </c:pt>
                <c:pt idx="20">
                  <c:v>5098.824202549939</c:v>
                </c:pt>
                <c:pt idx="21">
                  <c:v>4793.662685716172</c:v>
                </c:pt>
                <c:pt idx="22">
                  <c:v>4515.439962068322</c:v>
                </c:pt>
                <c:pt idx="23">
                  <c:v>4260.887700639933</c:v>
                </c:pt>
                <c:pt idx="24">
                  <c:v>4027.2426570997277</c:v>
                </c:pt>
                <c:pt idx="26">
                  <c:v>82948.47758980757</c:v>
                </c:pt>
                <c:pt idx="27">
                  <c:v>128570.14026420175</c:v>
                </c:pt>
                <c:pt idx="28">
                  <c:v>100000000</c:v>
                </c:pt>
              </c:numCache>
            </c:numRef>
          </c:xVal>
          <c:yVal>
            <c:numRef>
              <c:f>description!$AE$20:$AE$48</c:f>
              <c:numCache>
                <c:ptCount val="29"/>
                <c:pt idx="0">
                  <c:v>0.03859074024376233</c:v>
                </c:pt>
                <c:pt idx="1">
                  <c:v>0.03897664764619995</c:v>
                </c:pt>
                <c:pt idx="2">
                  <c:v>0.03936641412266195</c:v>
                </c:pt>
                <c:pt idx="3">
                  <c:v>0.039760078263888575</c:v>
                </c:pt>
                <c:pt idx="4">
                  <c:v>0.040157679046527464</c:v>
                </c:pt>
                <c:pt idx="5">
                  <c:v>0.04055925583699274</c:v>
                </c:pt>
                <c:pt idx="6">
                  <c:v>0.04096484839536267</c:v>
                </c:pt>
                <c:pt idx="7">
                  <c:v>0.0413744968793163</c:v>
                </c:pt>
                <c:pt idx="8">
                  <c:v>0.04178824184810946</c:v>
                </c:pt>
                <c:pt idx="9">
                  <c:v>0.04220612426659056</c:v>
                </c:pt>
                <c:pt idx="10">
                  <c:v>0.04262818550925646</c:v>
                </c:pt>
                <c:pt idx="11">
                  <c:v>0.04305446736434903</c:v>
                </c:pt>
                <c:pt idx="12">
                  <c:v>0.04348501203799252</c:v>
                </c:pt>
                <c:pt idx="13">
                  <c:v>0.04391986215837245</c:v>
                </c:pt>
                <c:pt idx="14">
                  <c:v>0.044359060779956175</c:v>
                </c:pt>
                <c:pt idx="15">
                  <c:v>0.044802651387755736</c:v>
                </c:pt>
                <c:pt idx="16">
                  <c:v>0.04525067790163329</c:v>
                </c:pt>
                <c:pt idx="17">
                  <c:v>0.04570318468064963</c:v>
                </c:pt>
                <c:pt idx="18">
                  <c:v>0.046160216527456124</c:v>
                </c:pt>
                <c:pt idx="19">
                  <c:v>0.04662181869273069</c:v>
                </c:pt>
                <c:pt idx="20">
                  <c:v>0.04708803687965799</c:v>
                </c:pt>
                <c:pt idx="21">
                  <c:v>0.047558917248454576</c:v>
                </c:pt>
                <c:pt idx="22">
                  <c:v>0.04803450642093912</c:v>
                </c:pt>
                <c:pt idx="23">
                  <c:v>0.048514851485148516</c:v>
                </c:pt>
                <c:pt idx="24">
                  <c:v>0.049</c:v>
                </c:pt>
                <c:pt idx="26">
                  <c:v>0.03859074024376233</c:v>
                </c:pt>
                <c:pt idx="27">
                  <c:v>0.03786913533793549</c:v>
                </c:pt>
                <c:pt idx="28">
                  <c:v>0.03786913533793549</c:v>
                </c:pt>
              </c:numCache>
            </c:numRef>
          </c:yVal>
          <c:smooth val="1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description!$AF$12</c:f>
              <c:numCache>
                <c:ptCount val="1"/>
              </c:numCache>
            </c:numRef>
          </c:xVal>
          <c:yVal>
            <c:numRef>
              <c:f>description!$AI$12</c:f>
              <c:numCache>
                <c:ptCount val="1"/>
              </c:numCache>
            </c:numRef>
          </c:yVal>
          <c:smooth val="1"/>
        </c:ser>
        <c:ser>
          <c:idx val="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description!$AO$10:$AO$14</c:f>
              <c:numCache>
                <c:ptCount val="5"/>
              </c:numCache>
            </c:numRef>
          </c:xVal>
          <c:yVal>
            <c:numRef>
              <c:f>description!$AP$10:$AP$14</c:f>
              <c:numCache>
                <c:ptCount val="5"/>
              </c:numCache>
            </c:numRef>
          </c:yVal>
          <c:smooth val="1"/>
        </c:ser>
        <c:ser>
          <c:idx val="2"/>
          <c:order val="6"/>
          <c:tx>
            <c:strRef>
              <c:f>description!$AH$17</c:f>
              <c:strCache>
                <c:ptCount val="1"/>
                <c:pt idx="0">
                  <c:v>0.003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description!$AG$20:$AG$48</c:f>
              <c:numCache>
                <c:ptCount val="29"/>
                <c:pt idx="0">
                  <c:v>231354.7971143188</c:v>
                </c:pt>
                <c:pt idx="1">
                  <c:v>117637.90134479686</c:v>
                </c:pt>
                <c:pt idx="2">
                  <c:v>76828.10830975653</c:v>
                </c:pt>
                <c:pt idx="3">
                  <c:v>55897.65849022306</c:v>
                </c:pt>
                <c:pt idx="4">
                  <c:v>43207.2163510493</c:v>
                </c:pt>
                <c:pt idx="5">
                  <c:v>34718.80991265538</c:v>
                </c:pt>
                <c:pt idx="6">
                  <c:v>28661.46175535449</c:v>
                </c:pt>
                <c:pt idx="7">
                  <c:v>24136.098431075196</c:v>
                </c:pt>
                <c:pt idx="8">
                  <c:v>20637.790403588875</c:v>
                </c:pt>
                <c:pt idx="9">
                  <c:v>17861.111948847418</c:v>
                </c:pt>
                <c:pt idx="10">
                  <c:v>15610.476396449385</c:v>
                </c:pt>
                <c:pt idx="11">
                  <c:v>13754.841855884233</c:v>
                </c:pt>
                <c:pt idx="12">
                  <c:v>12203.122977827257</c:v>
                </c:pt>
                <c:pt idx="13">
                  <c:v>10890.047277556652</c:v>
                </c:pt>
                <c:pt idx="14">
                  <c:v>9767.622142454185</c:v>
                </c:pt>
                <c:pt idx="15">
                  <c:v>8799.776864859301</c:v>
                </c:pt>
                <c:pt idx="16">
                  <c:v>7958.881874841878</c:v>
                </c:pt>
                <c:pt idx="17">
                  <c:v>7223.420184269315</c:v>
                </c:pt>
                <c:pt idx="18">
                  <c:v>6576.389318531013</c:v>
                </c:pt>
                <c:pt idx="19">
                  <c:v>6004.179654903769</c:v>
                </c:pt>
                <c:pt idx="20">
                  <c:v>5495.771307059398</c:v>
                </c:pt>
                <c:pt idx="21">
                  <c:v>5042.148774971035</c:v>
                </c:pt>
                <c:pt idx="22">
                  <c:v>4635.8674442811425</c:v>
                </c:pt>
                <c:pt idx="23">
                  <c:v>4270.727877367202</c:v>
                </c:pt>
                <c:pt idx="24">
                  <c:v>3941.5278666726845</c:v>
                </c:pt>
                <c:pt idx="26">
                  <c:v>231354.7971143188</c:v>
                </c:pt>
                <c:pt idx="27">
                  <c:v>358599.9355271941</c:v>
                </c:pt>
                <c:pt idx="28">
                  <c:v>100000000</c:v>
                </c:pt>
              </c:numCache>
            </c:numRef>
          </c:xVal>
          <c:yVal>
            <c:numRef>
              <c:f>description!$AH$20:$AH$48</c:f>
              <c:numCache>
                <c:ptCount val="29"/>
                <c:pt idx="0">
                  <c:v>0.026734023981370317</c:v>
                </c:pt>
                <c:pt idx="1">
                  <c:v>0.027268704460997724</c:v>
                </c:pt>
                <c:pt idx="2">
                  <c:v>0.02781407855021768</c:v>
                </c:pt>
                <c:pt idx="3">
                  <c:v>0.028370360121222033</c:v>
                </c:pt>
                <c:pt idx="4">
                  <c:v>0.028937767323646474</c:v>
                </c:pt>
                <c:pt idx="5">
                  <c:v>0.029516522670119404</c:v>
                </c:pt>
                <c:pt idx="6">
                  <c:v>0.030106853123521793</c:v>
                </c:pt>
                <c:pt idx="7">
                  <c:v>0.03070899018599223</c:v>
                </c:pt>
                <c:pt idx="8">
                  <c:v>0.031323169989712074</c:v>
                </c:pt>
                <c:pt idx="9">
                  <c:v>0.031949633389506314</c:v>
                </c:pt>
                <c:pt idx="10">
                  <c:v>0.03258862605729644</c:v>
                </c:pt>
                <c:pt idx="11">
                  <c:v>0.03324039857844237</c:v>
                </c:pt>
                <c:pt idx="12">
                  <c:v>0.03390520655001122</c:v>
                </c:pt>
                <c:pt idx="13">
                  <c:v>0.03458331068101144</c:v>
                </c:pt>
                <c:pt idx="14">
                  <c:v>0.03527497689463167</c:v>
                </c:pt>
                <c:pt idx="15">
                  <c:v>0.0359804764325243</c:v>
                </c:pt>
                <c:pt idx="16">
                  <c:v>0.036700085961174786</c:v>
                </c:pt>
                <c:pt idx="17">
                  <c:v>0.037434087680398284</c:v>
                </c:pt>
                <c:pt idx="18">
                  <c:v>0.03818276943400625</c:v>
                </c:pt>
                <c:pt idx="19">
                  <c:v>0.03894642482268638</c:v>
                </c:pt>
                <c:pt idx="20">
                  <c:v>0.03972535331914011</c:v>
                </c:pt>
                <c:pt idx="21">
                  <c:v>0.04051986038552291</c:v>
                </c:pt>
                <c:pt idx="22">
                  <c:v>0.04133025759323337</c:v>
                </c:pt>
                <c:pt idx="23">
                  <c:v>0.042156862745098035</c:v>
                </c:pt>
                <c:pt idx="24">
                  <c:v>0.043</c:v>
                </c:pt>
                <c:pt idx="26">
                  <c:v>0.026734023981370317</c:v>
                </c:pt>
                <c:pt idx="27">
                  <c:v>0.026145085508627038</c:v>
                </c:pt>
                <c:pt idx="28">
                  <c:v>0.026145085508627038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description!$AK$17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description!$AJ$20:$AJ$48</c:f>
              <c:numCache>
                <c:ptCount val="29"/>
                <c:pt idx="0">
                  <c:v>552460.9223358129</c:v>
                </c:pt>
                <c:pt idx="1">
                  <c:v>248522.74738191516</c:v>
                </c:pt>
                <c:pt idx="2">
                  <c:v>152802.23469650315</c:v>
                </c:pt>
                <c:pt idx="3">
                  <c:v>106314.21401824107</c:v>
                </c:pt>
                <c:pt idx="4">
                  <c:v>79076.28435289102</c:v>
                </c:pt>
                <c:pt idx="5">
                  <c:v>61331.75413788365</c:v>
                </c:pt>
                <c:pt idx="6">
                  <c:v>48956.15969264353</c:v>
                </c:pt>
                <c:pt idx="7">
                  <c:v>39905.945155707974</c:v>
                </c:pt>
                <c:pt idx="8">
                  <c:v>33053.32666008794</c:v>
                </c:pt>
                <c:pt idx="9">
                  <c:v>27725.183468118077</c:v>
                </c:pt>
                <c:pt idx="10">
                  <c:v>23495.076775894882</c:v>
                </c:pt>
                <c:pt idx="11">
                  <c:v>20079.868306796816</c:v>
                </c:pt>
                <c:pt idx="12">
                  <c:v>17284.309704655574</c:v>
                </c:pt>
                <c:pt idx="13">
                  <c:v>14969.496531547373</c:v>
                </c:pt>
                <c:pt idx="14">
                  <c:v>13033.997875794472</c:v>
                </c:pt>
                <c:pt idx="15">
                  <c:v>11402.091769865578</c:v>
                </c:pt>
                <c:pt idx="16">
                  <c:v>10016.16858244715</c:v>
                </c:pt>
                <c:pt idx="17">
                  <c:v>8831.675365710193</c:v>
                </c:pt>
                <c:pt idx="18">
                  <c:v>7813.66173266376</c:v>
                </c:pt>
                <c:pt idx="19">
                  <c:v>6934.364922232742</c:v>
                </c:pt>
                <c:pt idx="20">
                  <c:v>6171.486641265768</c:v>
                </c:pt>
                <c:pt idx="21">
                  <c:v>5506.940995079654</c:v>
                </c:pt>
                <c:pt idx="22">
                  <c:v>4925.929801269807</c:v>
                </c:pt>
                <c:pt idx="23">
                  <c:v>4416.249611321889</c:v>
                </c:pt>
                <c:pt idx="24">
                  <c:v>3967.765455307055</c:v>
                </c:pt>
                <c:pt idx="26">
                  <c:v>552460.9223358129</c:v>
                </c:pt>
                <c:pt idx="27">
                  <c:v>856314.4296205101</c:v>
                </c:pt>
                <c:pt idx="28">
                  <c:v>100000000</c:v>
                </c:pt>
              </c:numCache>
            </c:numRef>
          </c:xVal>
          <c:yVal>
            <c:numRef>
              <c:f>description!$AK$20:$AK$48</c:f>
              <c:numCache>
                <c:ptCount val="29"/>
                <c:pt idx="0">
                  <c:v>0.02016928318991987</c:v>
                </c:pt>
                <c:pt idx="1">
                  <c:v>0.020774361685617467</c:v>
                </c:pt>
                <c:pt idx="2">
                  <c:v>0.02139759253618599</c:v>
                </c:pt>
                <c:pt idx="3">
                  <c:v>0.022039520312271573</c:v>
                </c:pt>
                <c:pt idx="4">
                  <c:v>0.02270070592163972</c:v>
                </c:pt>
                <c:pt idx="5">
                  <c:v>0.023381727099288912</c:v>
                </c:pt>
                <c:pt idx="6">
                  <c:v>0.02408317891226758</c:v>
                </c:pt>
                <c:pt idx="7">
                  <c:v>0.02480567427963561</c:v>
                </c:pt>
                <c:pt idx="8">
                  <c:v>0.02554984450802468</c:v>
                </c:pt>
                <c:pt idx="9">
                  <c:v>0.02631633984326542</c:v>
                </c:pt>
                <c:pt idx="10">
                  <c:v>0.027105830038563383</c:v>
                </c:pt>
                <c:pt idx="11">
                  <c:v>0.027919004939720285</c:v>
                </c:pt>
                <c:pt idx="12">
                  <c:v>0.028756575087911896</c:v>
                </c:pt>
                <c:pt idx="13">
                  <c:v>0.029619272340549254</c:v>
                </c:pt>
                <c:pt idx="14">
                  <c:v>0.03050785051076573</c:v>
                </c:pt>
                <c:pt idx="15">
                  <c:v>0.031423086026088703</c:v>
                </c:pt>
                <c:pt idx="16">
                  <c:v>0.032365778606871363</c:v>
                </c:pt>
                <c:pt idx="17">
                  <c:v>0.0333367519650775</c:v>
                </c:pt>
                <c:pt idx="18">
                  <c:v>0.034336854524029826</c:v>
                </c:pt>
                <c:pt idx="19">
                  <c:v>0.03536696015975072</c:v>
                </c:pt>
                <c:pt idx="20">
                  <c:v>0.03642796896454324</c:v>
                </c:pt>
                <c:pt idx="21">
                  <c:v>0.03752080803347954</c:v>
                </c:pt>
                <c:pt idx="22">
                  <c:v>0.03864643227448393</c:v>
                </c:pt>
                <c:pt idx="23">
                  <c:v>0.039805825242718446</c:v>
                </c:pt>
                <c:pt idx="24">
                  <c:v>0.041</c:v>
                </c:pt>
                <c:pt idx="26">
                  <c:v>0.02016928318991987</c:v>
                </c:pt>
                <c:pt idx="27">
                  <c:v>0.01962257144440472</c:v>
                </c:pt>
                <c:pt idx="28">
                  <c:v>0.01962257144440472</c:v>
                </c:pt>
              </c:numCache>
            </c:numRef>
          </c:yVal>
          <c:smooth val="1"/>
        </c:ser>
        <c:ser>
          <c:idx val="5"/>
          <c:order val="8"/>
          <c:tx>
            <c:strRef>
              <c:f>description!$AN$17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description!$AM$20:$AM$48</c:f>
              <c:numCache>
                <c:ptCount val="29"/>
                <c:pt idx="0">
                  <c:v>12628526.532629013</c:v>
                </c:pt>
                <c:pt idx="1">
                  <c:v>2174187.226593385</c:v>
                </c:pt>
                <c:pt idx="2">
                  <c:v>1042096.4923492356</c:v>
                </c:pt>
                <c:pt idx="3">
                  <c:v>621575.9681234466</c:v>
                </c:pt>
                <c:pt idx="4">
                  <c:v>409010.3037349089</c:v>
                </c:pt>
                <c:pt idx="5">
                  <c:v>284640.3736625252</c:v>
                </c:pt>
                <c:pt idx="6">
                  <c:v>205415.76685257538</c:v>
                </c:pt>
                <c:pt idx="7">
                  <c:v>152087.9659376492</c:v>
                </c:pt>
                <c:pt idx="8">
                  <c:v>114785.73615166557</c:v>
                </c:pt>
                <c:pt idx="9">
                  <c:v>87946.63672327137</c:v>
                </c:pt>
                <c:pt idx="10">
                  <c:v>68214.51042056081</c:v>
                </c:pt>
                <c:pt idx="11">
                  <c:v>53457.52144969617</c:v>
                </c:pt>
                <c:pt idx="12">
                  <c:v>42266.61598707153</c:v>
                </c:pt>
                <c:pt idx="13">
                  <c:v>33680.77961123337</c:v>
                </c:pt>
                <c:pt idx="14">
                  <c:v>27027.829587657223</c:v>
                </c:pt>
                <c:pt idx="15">
                  <c:v>21827.817632255552</c:v>
                </c:pt>
                <c:pt idx="16">
                  <c:v>17732.146490791576</c:v>
                </c:pt>
                <c:pt idx="17">
                  <c:v>14483.95485584763</c:v>
                </c:pt>
                <c:pt idx="18">
                  <c:v>11891.639987665569</c:v>
                </c:pt>
                <c:pt idx="19">
                  <c:v>9810.753672216817</c:v>
                </c:pt>
                <c:pt idx="20">
                  <c:v>8131.380562439046</c:v>
                </c:pt>
                <c:pt idx="21">
                  <c:v>6769.190516111479</c:v>
                </c:pt>
                <c:pt idx="22">
                  <c:v>5659.003185924188</c:v>
                </c:pt>
                <c:pt idx="23">
                  <c:v>4750.1008715618045</c:v>
                </c:pt>
                <c:pt idx="24">
                  <c:v>4002.776769595233</c:v>
                </c:pt>
                <c:pt idx="26">
                  <c:v>12628526.532629013</c:v>
                </c:pt>
                <c:pt idx="27">
                  <c:v>19574216.125574972</c:v>
                </c:pt>
                <c:pt idx="28">
                  <c:v>100000000</c:v>
                </c:pt>
              </c:numCache>
            </c:numRef>
          </c:xVal>
          <c:yVal>
            <c:numRef>
              <c:f>description!$AN$20:$AN$48</c:f>
              <c:numCache>
                <c:ptCount val="29"/>
                <c:pt idx="0">
                  <c:v>0.012122572961195448</c:v>
                </c:pt>
                <c:pt idx="1">
                  <c:v>0.012740824182216415</c:v>
                </c:pt>
                <c:pt idx="2">
                  <c:v>0.013390606215509452</c:v>
                </c:pt>
                <c:pt idx="3">
                  <c:v>0.014073527132500433</c:v>
                </c:pt>
                <c:pt idx="4">
                  <c:v>0.014791277016257954</c:v>
                </c:pt>
                <c:pt idx="5">
                  <c:v>0.015545632144087109</c:v>
                </c:pt>
                <c:pt idx="6">
                  <c:v>0.01633845938343555</c:v>
                </c:pt>
                <c:pt idx="7">
                  <c:v>0.01717172081199076</c:v>
                </c:pt>
                <c:pt idx="8">
                  <c:v>0.01804747857340229</c:v>
                </c:pt>
                <c:pt idx="9">
                  <c:v>0.018967899980645804</c:v>
                </c:pt>
                <c:pt idx="10">
                  <c:v>0.01993526287965874</c:v>
                </c:pt>
                <c:pt idx="11">
                  <c:v>0.020951961286521336</c:v>
                </c:pt>
                <c:pt idx="12">
                  <c:v>0.022020511312133922</c:v>
                </c:pt>
                <c:pt idx="13">
                  <c:v>0.02314355738905275</c:v>
                </c:pt>
                <c:pt idx="14">
                  <c:v>0.02432387881589444</c:v>
                </c:pt>
                <c:pt idx="15">
                  <c:v>0.025564396635505054</c:v>
                </c:pt>
                <c:pt idx="16">
                  <c:v>0.026868180863915812</c:v>
                </c:pt>
                <c:pt idx="17">
                  <c:v>0.028238458087975517</c:v>
                </c:pt>
                <c:pt idx="18">
                  <c:v>0.029678619450462265</c:v>
                </c:pt>
                <c:pt idx="19">
                  <c:v>0.031192229042435838</c:v>
                </c:pt>
                <c:pt idx="20">
                  <c:v>0.032783032723600065</c:v>
                </c:pt>
                <c:pt idx="21">
                  <c:v>0.034454967392503665</c:v>
                </c:pt>
                <c:pt idx="22">
                  <c:v>0.03621217072952135</c:v>
                </c:pt>
                <c:pt idx="23">
                  <c:v>0.03805899143672693</c:v>
                </c:pt>
                <c:pt idx="24">
                  <c:v>0.04</c:v>
                </c:pt>
                <c:pt idx="26">
                  <c:v>0.012122572961195448</c:v>
                </c:pt>
                <c:pt idx="27">
                  <c:v>0.01197365149564789</c:v>
                </c:pt>
                <c:pt idx="28">
                  <c:v>0.01197365149564789</c:v>
                </c:pt>
              </c:numCache>
            </c:numRef>
          </c:yVal>
          <c:smooth val="1"/>
        </c:ser>
        <c:ser>
          <c:idx val="6"/>
          <c:order val="9"/>
          <c:tx>
            <c:strRef>
              <c:f>description!$AQ$17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description!$AP$20:$AP$48</c:f>
              <c:numCache>
                <c:ptCount val="29"/>
                <c:pt idx="0">
                  <c:v>2617727170.2179594</c:v>
                </c:pt>
                <c:pt idx="1">
                  <c:v>18959538.008028667</c:v>
                </c:pt>
                <c:pt idx="2">
                  <c:v>7481016.608956248</c:v>
                </c:pt>
                <c:pt idx="3">
                  <c:v>3902677.0218917974</c:v>
                </c:pt>
                <c:pt idx="4">
                  <c:v>2279649.210366779</c:v>
                </c:pt>
                <c:pt idx="5">
                  <c:v>1416298.9595121893</c:v>
                </c:pt>
                <c:pt idx="6">
                  <c:v>915268.3609575289</c:v>
                </c:pt>
                <c:pt idx="7">
                  <c:v>608254.3574982784</c:v>
                </c:pt>
                <c:pt idx="8">
                  <c:v>412991.03784157935</c:v>
                </c:pt>
                <c:pt idx="9">
                  <c:v>285354.9213854629</c:v>
                </c:pt>
                <c:pt idx="10">
                  <c:v>200123.54420564775</c:v>
                </c:pt>
                <c:pt idx="11">
                  <c:v>142205.08693077782</c:v>
                </c:pt>
                <c:pt idx="12">
                  <c:v>102256.61696403412</c:v>
                </c:pt>
                <c:pt idx="13">
                  <c:v>74339.79435608412</c:v>
                </c:pt>
                <c:pt idx="14">
                  <c:v>54599.680546169184</c:v>
                </c:pt>
                <c:pt idx="15">
                  <c:v>40489.624480992105</c:v>
                </c:pt>
                <c:pt idx="16">
                  <c:v>30301.928730591484</c:v>
                </c:pt>
                <c:pt idx="17">
                  <c:v>22876.373330946873</c:v>
                </c:pt>
                <c:pt idx="18">
                  <c:v>17415.394745259466</c:v>
                </c:pt>
                <c:pt idx="19">
                  <c:v>13364.83054330038</c:v>
                </c:pt>
                <c:pt idx="20">
                  <c:v>10335.808521285571</c:v>
                </c:pt>
                <c:pt idx="21">
                  <c:v>8052.908114520918</c:v>
                </c:pt>
                <c:pt idx="22">
                  <c:v>6319.350944591035</c:v>
                </c:pt>
                <c:pt idx="23">
                  <c:v>4993.375504630715</c:v>
                </c:pt>
                <c:pt idx="24">
                  <c:v>3972.0440986375525</c:v>
                </c:pt>
                <c:pt idx="26">
                  <c:v>2617727170.2179594</c:v>
                </c:pt>
                <c:pt idx="27">
                  <c:v>4057477113.837837</c:v>
                </c:pt>
                <c:pt idx="28">
                  <c:v>100000000</c:v>
                </c:pt>
              </c:numCache>
            </c:numRef>
          </c:xVal>
          <c:yVal>
            <c:numRef>
              <c:f>description!$AQ$20:$AQ$48</c:f>
              <c:numCache>
                <c:ptCount val="29"/>
                <c:pt idx="0">
                  <c:v>0.008064827197184994</c:v>
                </c:pt>
                <c:pt idx="1">
                  <c:v>0.008621300273790758</c:v>
                </c:pt>
                <c:pt idx="2">
                  <c:v>0.00921616999268232</c:v>
                </c:pt>
                <c:pt idx="3">
                  <c:v>0.0098520857221774</c:v>
                </c:pt>
                <c:pt idx="4">
                  <c:v>0.01053187963700764</c:v>
                </c:pt>
                <c:pt idx="5">
                  <c:v>0.011258579331961166</c:v>
                </c:pt>
                <c:pt idx="6">
                  <c:v>0.012035421305866486</c:v>
                </c:pt>
                <c:pt idx="7">
                  <c:v>0.012865865375971272</c:v>
                </c:pt>
                <c:pt idx="8">
                  <c:v>0.013753610086913289</c:v>
                </c:pt>
                <c:pt idx="9">
                  <c:v>0.014702609182910305</c:v>
                </c:pt>
                <c:pt idx="10">
                  <c:v>0.015717089216531116</c:v>
                </c:pt>
                <c:pt idx="11">
                  <c:v>0.01680156837247176</c:v>
                </c:pt>
                <c:pt idx="12">
                  <c:v>0.01796087659017231</c:v>
                </c:pt>
                <c:pt idx="13">
                  <c:v>0.0192001770748942</c:v>
                </c:pt>
                <c:pt idx="14">
                  <c:v>0.020524989293061898</c:v>
                </c:pt>
                <c:pt idx="15">
                  <c:v>0.02194121355428317</c:v>
                </c:pt>
                <c:pt idx="16">
                  <c:v>0.023455157289528707</c:v>
                </c:pt>
                <c:pt idx="17">
                  <c:v>0.025073563142506188</c:v>
                </c:pt>
                <c:pt idx="18">
                  <c:v>0.026803638999339113</c:v>
                </c:pt>
                <c:pt idx="19">
                  <c:v>0.02865309009029351</c:v>
                </c:pt>
                <c:pt idx="20">
                  <c:v>0.03063015330652376</c:v>
                </c:pt>
                <c:pt idx="21">
                  <c:v>0.0327436338846739</c:v>
                </c:pt>
                <c:pt idx="22">
                  <c:v>0.03500294462271639</c:v>
                </c:pt>
                <c:pt idx="23">
                  <c:v>0.03741814780168382</c:v>
                </c:pt>
                <c:pt idx="24">
                  <c:v>0.04</c:v>
                </c:pt>
                <c:pt idx="26">
                  <c:v>0.008064827197184994</c:v>
                </c:pt>
                <c:pt idx="27">
                  <c:v>0.008059855518852254</c:v>
                </c:pt>
                <c:pt idx="28">
                  <c:v>0.008059855518852254</c:v>
                </c:pt>
              </c:numCache>
            </c:numRef>
          </c:yVal>
          <c:smooth val="1"/>
        </c:ser>
        <c:ser>
          <c:idx val="10"/>
          <c:order val="1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description!$AA$9:$AA$10</c:f>
              <c:numCache>
                <c:ptCount val="2"/>
                <c:pt idx="0">
                  <c:v>100</c:v>
                </c:pt>
                <c:pt idx="1">
                  <c:v>2000</c:v>
                </c:pt>
              </c:numCache>
            </c:numRef>
          </c:xVal>
          <c:yVal>
            <c:numRef>
              <c:f>description!$AB$9:$AB$10</c:f>
              <c:numCache>
                <c:ptCount val="2"/>
                <c:pt idx="0">
                  <c:v>0.64</c:v>
                </c:pt>
                <c:pt idx="1">
                  <c:v>0.032</c:v>
                </c:pt>
              </c:numCache>
            </c:numRef>
          </c:yVal>
          <c:smooth val="1"/>
        </c:ser>
        <c:ser>
          <c:idx val="11"/>
          <c:order val="11"/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description!$AA$12:$AA$13</c:f>
              <c:numCache>
                <c:ptCount val="2"/>
                <c:pt idx="0">
                  <c:v>2000</c:v>
                </c:pt>
                <c:pt idx="1">
                  <c:v>6000</c:v>
                </c:pt>
              </c:numCache>
            </c:numRef>
          </c:xVal>
          <c:yVal>
            <c:numRef>
              <c:f>description!$AB$12:$AB$13</c:f>
              <c:numCache>
                <c:ptCount val="2"/>
                <c:pt idx="0">
                  <c:v>0.032</c:v>
                </c:pt>
                <c:pt idx="1">
                  <c:v>0.010666666666666666</c:v>
                </c:pt>
              </c:numCache>
            </c:numRef>
          </c:yVal>
          <c:smooth val="1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'Colebrook-White (2)'!$K$5</c:f>
              <c:numCache>
                <c:ptCount val="1"/>
                <c:pt idx="0">
                  <c:v>318471.3375796178</c:v>
                </c:pt>
              </c:numCache>
            </c:numRef>
          </c:xVal>
          <c:yVal>
            <c:numRef>
              <c:f>'Colebrook-White (2)'!$L$5</c:f>
              <c:numCache>
                <c:ptCount val="1"/>
                <c:pt idx="0">
                  <c:v>0.03806028499241819</c:v>
                </c:pt>
              </c:numCache>
            </c:numRef>
          </c:yVal>
          <c:smooth val="1"/>
        </c:ser>
        <c:ser>
          <c:idx val="13"/>
          <c:order val="13"/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'Colebrook-White (2)'!$N$5:$N$9</c:f>
              <c:numCache>
                <c:ptCount val="5"/>
                <c:pt idx="0">
                  <c:v>100</c:v>
                </c:pt>
                <c:pt idx="1">
                  <c:v>318471.3375796178</c:v>
                </c:pt>
                <c:pt idx="3">
                  <c:v>318471.3375796178</c:v>
                </c:pt>
                <c:pt idx="4">
                  <c:v>318471.3375796178</c:v>
                </c:pt>
              </c:numCache>
            </c:numRef>
          </c:xVal>
          <c:yVal>
            <c:numRef>
              <c:f>'Colebrook-White (2)'!$O$5:$O$9</c:f>
              <c:numCache>
                <c:ptCount val="5"/>
                <c:pt idx="0">
                  <c:v>0.03806028499241819</c:v>
                </c:pt>
                <c:pt idx="1">
                  <c:v>0.03806028499241819</c:v>
                </c:pt>
                <c:pt idx="3">
                  <c:v>0.03806028499241819</c:v>
                </c:pt>
                <c:pt idx="4">
                  <c:v>1E-05</c:v>
                </c:pt>
              </c:numCache>
            </c:numRef>
          </c:yVal>
          <c:smooth val="1"/>
        </c:ser>
        <c:ser>
          <c:idx val="14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'Colebrook-White (2)'!$R$6:$BX$6</c:f>
              <c:numCache>
                <c:ptCount val="5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136095.66121830072</c:v>
                </c:pt>
                <c:pt idx="39">
                  <c:v>24109.568471710914</c:v>
                </c:pt>
                <c:pt idx="40">
                  <c:v>12262.214397862474</c:v>
                </c:pt>
                <c:pt idx="41">
                  <c:v>7792.284242925306</c:v>
                </c:pt>
                <c:pt idx="42">
                  <c:v>5474.847807383311</c:v>
                </c:pt>
                <c:pt idx="43">
                  <c:v>4074.562899370844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</c:numCache>
            </c:numRef>
          </c:xVal>
          <c:yVal>
            <c:numRef>
              <c:f>'Colebrook-White (2)'!$R$7:$BX$7</c:f>
              <c:numCache>
                <c:ptCount val="59"/>
                <c:pt idx="0">
                  <c:v>0.006</c:v>
                </c:pt>
                <c:pt idx="1">
                  <c:v>0.0063</c:v>
                </c:pt>
                <c:pt idx="2">
                  <c:v>0.006615</c:v>
                </c:pt>
                <c:pt idx="3">
                  <c:v>0.0069457500000000005</c:v>
                </c:pt>
                <c:pt idx="4">
                  <c:v>0.007293037500000001</c:v>
                </c:pt>
                <c:pt idx="5">
                  <c:v>0.007657689375000001</c:v>
                </c:pt>
                <c:pt idx="6">
                  <c:v>0.008040573843750001</c:v>
                </c:pt>
                <c:pt idx="7">
                  <c:v>0.008442602535937501</c:v>
                </c:pt>
                <c:pt idx="8">
                  <c:v>0.008864732662734376</c:v>
                </c:pt>
                <c:pt idx="9">
                  <c:v>0.009307969295871096</c:v>
                </c:pt>
                <c:pt idx="10">
                  <c:v>0.009773367760664651</c:v>
                </c:pt>
                <c:pt idx="11">
                  <c:v>0.010262036148697884</c:v>
                </c:pt>
                <c:pt idx="12">
                  <c:v>0.01077513795613278</c:v>
                </c:pt>
                <c:pt idx="13">
                  <c:v>0.011313894853939419</c:v>
                </c:pt>
                <c:pt idx="14">
                  <c:v>0.01187958959663639</c:v>
                </c:pt>
                <c:pt idx="15">
                  <c:v>0.01247356907646821</c:v>
                </c:pt>
                <c:pt idx="16">
                  <c:v>0.013097247530291622</c:v>
                </c:pt>
                <c:pt idx="17">
                  <c:v>0.013752109906806205</c:v>
                </c:pt>
                <c:pt idx="18">
                  <c:v>0.014439715402146516</c:v>
                </c:pt>
                <c:pt idx="19">
                  <c:v>0.015161701172253843</c:v>
                </c:pt>
                <c:pt idx="20">
                  <c:v>0.015919786230866536</c:v>
                </c:pt>
                <c:pt idx="21">
                  <c:v>0.016715775542409862</c:v>
                </c:pt>
                <c:pt idx="22">
                  <c:v>0.017551564319530356</c:v>
                </c:pt>
                <c:pt idx="23">
                  <c:v>0.018429142535506874</c:v>
                </c:pt>
                <c:pt idx="24">
                  <c:v>0.019350599662282218</c:v>
                </c:pt>
                <c:pt idx="25">
                  <c:v>0.02031812964539633</c:v>
                </c:pt>
                <c:pt idx="26">
                  <c:v>0.02133403612766615</c:v>
                </c:pt>
                <c:pt idx="27">
                  <c:v>0.022400737934049456</c:v>
                </c:pt>
                <c:pt idx="28">
                  <c:v>0.02352077483075193</c:v>
                </c:pt>
                <c:pt idx="29">
                  <c:v>0.024696813572289526</c:v>
                </c:pt>
                <c:pt idx="30">
                  <c:v>0.025931654250904004</c:v>
                </c:pt>
                <c:pt idx="31">
                  <c:v>0.027228236963449205</c:v>
                </c:pt>
                <c:pt idx="32">
                  <c:v>0.028589648811621668</c:v>
                </c:pt>
                <c:pt idx="33">
                  <c:v>0.030019131252202753</c:v>
                </c:pt>
                <c:pt idx="34">
                  <c:v>0.03152008781481289</c:v>
                </c:pt>
                <c:pt idx="35">
                  <c:v>0.03309609220555354</c:v>
                </c:pt>
                <c:pt idx="36">
                  <c:v>0.03475089681583122</c:v>
                </c:pt>
                <c:pt idx="37">
                  <c:v>0.03648844165662278</c:v>
                </c:pt>
                <c:pt idx="38">
                  <c:v>0.038312863739453924</c:v>
                </c:pt>
                <c:pt idx="39">
                  <c:v>0.04022850692642662</c:v>
                </c:pt>
                <c:pt idx="40">
                  <c:v>0.04223993227274795</c:v>
                </c:pt>
                <c:pt idx="41">
                  <c:v>0.04435192888638535</c:v>
                </c:pt>
                <c:pt idx="42">
                  <c:v>0.046569525330704624</c:v>
                </c:pt>
                <c:pt idx="43">
                  <c:v>0.04889800159723986</c:v>
                </c:pt>
                <c:pt idx="44">
                  <c:v>0.05134290167710185</c:v>
                </c:pt>
                <c:pt idx="45">
                  <c:v>0.053910046760956946</c:v>
                </c:pt>
                <c:pt idx="46">
                  <c:v>0.056605549099004795</c:v>
                </c:pt>
                <c:pt idx="47">
                  <c:v>0.05943582655395504</c:v>
                </c:pt>
                <c:pt idx="48">
                  <c:v>0.06240761788165279</c:v>
                </c:pt>
                <c:pt idx="49">
                  <c:v>0.06552799877573544</c:v>
                </c:pt>
                <c:pt idx="50">
                  <c:v>0.06880439871452221</c:v>
                </c:pt>
                <c:pt idx="51">
                  <c:v>0.07224461865024832</c:v>
                </c:pt>
                <c:pt idx="52">
                  <c:v>0.07585684958276075</c:v>
                </c:pt>
                <c:pt idx="53">
                  <c:v>0.07964969206189879</c:v>
                </c:pt>
                <c:pt idx="54">
                  <c:v>0.08363217666499373</c:v>
                </c:pt>
                <c:pt idx="55">
                  <c:v>0.08781378549824342</c:v>
                </c:pt>
                <c:pt idx="56">
                  <c:v>0.0922044747731556</c:v>
                </c:pt>
                <c:pt idx="57">
                  <c:v>0.09681469851181339</c:v>
                </c:pt>
                <c:pt idx="58">
                  <c:v>0.10165543343740406</c:v>
                </c:pt>
              </c:numCache>
            </c:numRef>
          </c:yVal>
          <c:smooth val="1"/>
        </c:ser>
        <c:ser>
          <c:idx val="16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'Colebrook-White (2)'!$K$7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'Colebrook-White (2)'!$L$7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5"/>
          <c:order val="16"/>
          <c:tx>
            <c:strRef>
              <c:f>'Colebrook-White (2)'!$D$15</c:f>
              <c:strCache>
                <c:ptCount val="1"/>
                <c:pt idx="0">
                  <c:v>0.01000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'Colebrook-White (2)'!$R$10:$T$10</c:f>
              <c:numCache>
                <c:ptCount val="3"/>
                <c:pt idx="0">
                  <c:v>136095.66121830072</c:v>
                </c:pt>
                <c:pt idx="1">
                  <c:v>680478.3060915036</c:v>
                </c:pt>
                <c:pt idx="2">
                  <c:v>100000000</c:v>
                </c:pt>
              </c:numCache>
            </c:numRef>
          </c:xVal>
          <c:yVal>
            <c:numRef>
              <c:f>'Colebrook-White (2)'!$R$11:$T$11</c:f>
              <c:numCache>
                <c:ptCount val="3"/>
                <c:pt idx="0">
                  <c:v>0.038312863739453924</c:v>
                </c:pt>
                <c:pt idx="1">
                  <c:v>0.03786913533793549</c:v>
                </c:pt>
                <c:pt idx="2">
                  <c:v>0.03786913533793549</c:v>
                </c:pt>
              </c:numCache>
            </c:numRef>
          </c:yVal>
          <c:smooth val="1"/>
        </c:ser>
        <c:axId val="8350063"/>
        <c:axId val="8041704"/>
      </c:scatterChart>
      <c:valAx>
        <c:axId val="8350063"/>
        <c:scaling>
          <c:logBase val="10"/>
          <c:orientation val="minMax"/>
          <c:max val="1000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041704"/>
        <c:crossesAt val="0.001"/>
        <c:crossBetween val="midCat"/>
        <c:dispUnits/>
      </c:valAx>
      <c:valAx>
        <c:axId val="8041704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</a:t>
                </a:r>
              </a:p>
            </c:rich>
          </c:tx>
          <c:layout>
            <c:manualLayout>
              <c:xMode val="factor"/>
              <c:yMode val="factor"/>
              <c:x val="-0.005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85"/>
          <c:y val="0.3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47625</xdr:rowOff>
    </xdr:from>
    <xdr:to>
      <xdr:col>13</xdr:col>
      <xdr:colOff>590550</xdr:colOff>
      <xdr:row>19</xdr:row>
      <xdr:rowOff>28575</xdr:rowOff>
    </xdr:to>
    <xdr:sp>
      <xdr:nvSpPr>
        <xdr:cNvPr id="1" name="TextBox 51"/>
        <xdr:cNvSpPr txBox="1">
          <a:spLocks noChangeArrowheads="1"/>
        </xdr:cNvSpPr>
      </xdr:nvSpPr>
      <xdr:spPr>
        <a:xfrm>
          <a:off x="38100" y="1181100"/>
          <a:ext cx="847725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 this worksheet the loss coefficient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 l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for a circular pipe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is computed by means of the Colebrook-White formula (turbulent flow conditions).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Macros must be enable to solve the formula.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In the sketch below:
D [m] pipe diameter
Q [m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/s] flow discharge
L [m] pipe lenght
J [-] energy slope
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[m] pipe equivalent roughness
p [Pa] pressure
V [m/s] mean flow velocity
 </a:t>
          </a:r>
        </a:p>
      </xdr:txBody>
    </xdr:sp>
    <xdr:clientData/>
  </xdr:twoCellAnchor>
  <xdr:twoCellAnchor>
    <xdr:from>
      <xdr:col>61</xdr:col>
      <xdr:colOff>123825</xdr:colOff>
      <xdr:row>15</xdr:row>
      <xdr:rowOff>142875</xdr:rowOff>
    </xdr:from>
    <xdr:to>
      <xdr:col>75</xdr:col>
      <xdr:colOff>514350</xdr:colOff>
      <xdr:row>53</xdr:row>
      <xdr:rowOff>38100</xdr:rowOff>
    </xdr:to>
    <xdr:graphicFrame>
      <xdr:nvGraphicFramePr>
        <xdr:cNvPr id="2" name="Chart 1"/>
        <xdr:cNvGraphicFramePr/>
      </xdr:nvGraphicFramePr>
      <xdr:xfrm>
        <a:off x="37309425" y="2571750"/>
        <a:ext cx="8924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19</xdr:row>
      <xdr:rowOff>123825</xdr:rowOff>
    </xdr:from>
    <xdr:to>
      <xdr:col>13</xdr:col>
      <xdr:colOff>47625</xdr:colOff>
      <xdr:row>41</xdr:row>
      <xdr:rowOff>114300</xdr:rowOff>
    </xdr:to>
    <xdr:pic>
      <xdr:nvPicPr>
        <xdr:cNvPr id="3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00400"/>
          <a:ext cx="7934325" cy="3552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3</xdr:col>
      <xdr:colOff>352425</xdr:colOff>
      <xdr:row>5</xdr:row>
      <xdr:rowOff>133350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</xdr:row>
      <xdr:rowOff>142875</xdr:rowOff>
    </xdr:from>
    <xdr:to>
      <xdr:col>31</xdr:col>
      <xdr:colOff>123825</xdr:colOff>
      <xdr:row>9</xdr:row>
      <xdr:rowOff>28575</xdr:rowOff>
    </xdr:to>
    <xdr:sp>
      <xdr:nvSpPr>
        <xdr:cNvPr id="5" name="TextBox 59"/>
        <xdr:cNvSpPr txBox="1">
          <a:spLocks noChangeArrowheads="1"/>
        </xdr:cNvSpPr>
      </xdr:nvSpPr>
      <xdr:spPr>
        <a:xfrm>
          <a:off x="15506700" y="466725"/>
          <a:ext cx="35147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values for the graphs
do not touch them!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66675</xdr:rowOff>
    </xdr:from>
    <xdr:to>
      <xdr:col>2</xdr:col>
      <xdr:colOff>523875</xdr:colOff>
      <xdr:row>19</xdr:row>
      <xdr:rowOff>66675</xdr:rowOff>
    </xdr:to>
    <xdr:sp macro="[0]!risolvi">
      <xdr:nvSpPr>
        <xdr:cNvPr id="1" name="TextBox 1"/>
        <xdr:cNvSpPr txBox="1">
          <a:spLocks noChangeArrowheads="1"/>
        </xdr:cNvSpPr>
      </xdr:nvSpPr>
      <xdr:spPr>
        <a:xfrm>
          <a:off x="247650" y="3028950"/>
          <a:ext cx="1066800" cy="3238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solve</a:t>
          </a:r>
        </a:p>
      </xdr:txBody>
    </xdr:sp>
    <xdr:clientData/>
  </xdr:twoCellAnchor>
  <xdr:twoCellAnchor>
    <xdr:from>
      <xdr:col>6</xdr:col>
      <xdr:colOff>9525</xdr:colOff>
      <xdr:row>12</xdr:row>
      <xdr:rowOff>9525</xdr:rowOff>
    </xdr:from>
    <xdr:to>
      <xdr:col>17</xdr:col>
      <xdr:colOff>238125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09875" y="2162175"/>
        <a:ext cx="6505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25</xdr:row>
      <xdr:rowOff>66675</xdr:rowOff>
    </xdr:from>
    <xdr:to>
      <xdr:col>2</xdr:col>
      <xdr:colOff>523875</xdr:colOff>
      <xdr:row>27</xdr:row>
      <xdr:rowOff>66675</xdr:rowOff>
    </xdr:to>
    <xdr:sp macro="[0]!risolvi2">
      <xdr:nvSpPr>
        <xdr:cNvPr id="1" name="TextBox 1"/>
        <xdr:cNvSpPr txBox="1">
          <a:spLocks noChangeArrowheads="1"/>
        </xdr:cNvSpPr>
      </xdr:nvSpPr>
      <xdr:spPr>
        <a:xfrm>
          <a:off x="247650" y="4572000"/>
          <a:ext cx="1066800" cy="3238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SOLVE</a:t>
          </a:r>
        </a:p>
      </xdr:txBody>
    </xdr:sp>
    <xdr:clientData/>
  </xdr:twoCellAnchor>
  <xdr:twoCellAnchor>
    <xdr:from>
      <xdr:col>9</xdr:col>
      <xdr:colOff>28575</xdr:colOff>
      <xdr:row>1</xdr:row>
      <xdr:rowOff>38100</xdr:rowOff>
    </xdr:from>
    <xdr:to>
      <xdr:col>17</xdr:col>
      <xdr:colOff>114300</xdr:colOff>
      <xdr:row>22</xdr:row>
      <xdr:rowOff>38100</xdr:rowOff>
    </xdr:to>
    <xdr:graphicFrame>
      <xdr:nvGraphicFramePr>
        <xdr:cNvPr id="2" name="Chart 2"/>
        <xdr:cNvGraphicFramePr/>
      </xdr:nvGraphicFramePr>
      <xdr:xfrm>
        <a:off x="4724400" y="200025"/>
        <a:ext cx="45339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iar.polimi.it/fballio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F2:BC50"/>
  <sheetViews>
    <sheetView tabSelected="1" zoomScale="80" zoomScaleNormal="80" workbookViewId="0" topLeftCell="A1">
      <selection activeCell="N4" sqref="N4"/>
    </sheetView>
  </sheetViews>
  <sheetFormatPr defaultColWidth="9.140625" defaultRowHeight="12.75"/>
  <cols>
    <col min="1" max="25" width="9.140625" style="17" customWidth="1"/>
    <col min="26" max="49" width="9.140625" style="37" customWidth="1"/>
    <col min="50" max="16384" width="9.140625" style="17" customWidth="1"/>
  </cols>
  <sheetData>
    <row r="1" ht="12.75"/>
    <row r="2" ht="12.75">
      <c r="F2" s="58" t="s">
        <v>59</v>
      </c>
    </row>
    <row r="3" ht="12.75">
      <c r="F3" s="58" t="s">
        <v>60</v>
      </c>
    </row>
    <row r="4" ht="12.75">
      <c r="F4" s="58" t="s">
        <v>63</v>
      </c>
    </row>
    <row r="5" ht="12.75">
      <c r="F5" s="58" t="s">
        <v>61</v>
      </c>
    </row>
    <row r="6" ht="12.75">
      <c r="F6" s="59" t="s">
        <v>62</v>
      </c>
    </row>
    <row r="7" ht="12.75">
      <c r="F7" s="60"/>
    </row>
    <row r="8" spans="26:28" ht="12.75">
      <c r="Z8" s="76" t="s">
        <v>8</v>
      </c>
      <c r="AA8" s="61" t="s">
        <v>12</v>
      </c>
      <c r="AB8" s="62" t="s">
        <v>11</v>
      </c>
    </row>
    <row r="9" spans="26:28" ht="12.75" customHeight="1">
      <c r="Z9" s="76"/>
      <c r="AA9" s="63">
        <v>100</v>
      </c>
      <c r="AB9" s="64">
        <f>64/AA9</f>
        <v>0.64</v>
      </c>
    </row>
    <row r="10" spans="26:28" ht="12.75" customHeight="1">
      <c r="Z10" s="76"/>
      <c r="AA10" s="63">
        <v>2000</v>
      </c>
      <c r="AB10" s="64">
        <f>64/AA10</f>
        <v>0.032</v>
      </c>
    </row>
    <row r="11" spans="26:41" ht="12.75">
      <c r="Z11" s="76"/>
      <c r="AA11" s="63"/>
      <c r="AF11" s="45"/>
      <c r="AM11" s="65"/>
      <c r="AO11" s="65"/>
    </row>
    <row r="12" spans="26:34" ht="12.75">
      <c r="Z12" s="76"/>
      <c r="AA12" s="63">
        <v>2000</v>
      </c>
      <c r="AB12" s="64">
        <f>64/AA12</f>
        <v>0.032</v>
      </c>
      <c r="AF12" s="66"/>
      <c r="AH12" s="67"/>
    </row>
    <row r="13" spans="26:41" ht="12.75" customHeight="1">
      <c r="Z13" s="76"/>
      <c r="AA13" s="63">
        <v>6000</v>
      </c>
      <c r="AB13" s="64">
        <f>64/AA13</f>
        <v>0.010666666666666666</v>
      </c>
      <c r="AE13" s="67"/>
      <c r="AI13" s="65"/>
      <c r="AO13" s="65"/>
    </row>
    <row r="14" spans="26:41" ht="12.75" customHeight="1">
      <c r="Z14" s="76"/>
      <c r="AA14" s="63"/>
      <c r="AB14" s="68"/>
      <c r="AO14" s="65"/>
    </row>
    <row r="16" ht="12.75">
      <c r="Z16" s="76" t="s">
        <v>19</v>
      </c>
    </row>
    <row r="17" spans="26:49" ht="12.75">
      <c r="Z17" s="76"/>
      <c r="AA17" s="74" t="s">
        <v>68</v>
      </c>
      <c r="AB17" s="37">
        <v>0</v>
      </c>
      <c r="AE17" s="37">
        <v>0.01</v>
      </c>
      <c r="AH17" s="37">
        <v>0.003</v>
      </c>
      <c r="AK17" s="37">
        <f>+AE17/10</f>
        <v>0.001</v>
      </c>
      <c r="AN17" s="37">
        <f>+AK17/10</f>
        <v>0.0001</v>
      </c>
      <c r="AQ17" s="37">
        <f>+AN17/10</f>
        <v>1E-05</v>
      </c>
      <c r="AT17" s="37">
        <v>0.02</v>
      </c>
      <c r="AW17" s="37">
        <v>0.05</v>
      </c>
    </row>
    <row r="18" spans="26:49" ht="12.75">
      <c r="Z18" s="76"/>
      <c r="AB18" s="68">
        <v>1.1</v>
      </c>
      <c r="AE18" s="68">
        <v>1.01</v>
      </c>
      <c r="AH18" s="68">
        <v>1.02</v>
      </c>
      <c r="AK18" s="68">
        <v>1.03</v>
      </c>
      <c r="AN18" s="68">
        <v>1.051</v>
      </c>
      <c r="AQ18" s="68">
        <v>1.069</v>
      </c>
      <c r="AT18" s="68">
        <v>1.006</v>
      </c>
      <c r="AW18" s="68">
        <v>1.003</v>
      </c>
    </row>
    <row r="19" spans="26:55" ht="12.75">
      <c r="Z19" s="76"/>
      <c r="AA19" s="61" t="s">
        <v>12</v>
      </c>
      <c r="AB19" s="62" t="s">
        <v>11</v>
      </c>
      <c r="AD19" s="61" t="s">
        <v>12</v>
      </c>
      <c r="AE19" s="62" t="s">
        <v>11</v>
      </c>
      <c r="AG19" s="61" t="s">
        <v>12</v>
      </c>
      <c r="AH19" s="62" t="s">
        <v>11</v>
      </c>
      <c r="AI19" s="69"/>
      <c r="AJ19" s="61" t="s">
        <v>12</v>
      </c>
      <c r="AK19" s="62" t="s">
        <v>11</v>
      </c>
      <c r="AL19" s="61"/>
      <c r="AM19" s="61" t="s">
        <v>12</v>
      </c>
      <c r="AN19" s="62" t="s">
        <v>11</v>
      </c>
      <c r="AO19" s="62"/>
      <c r="AP19" s="61" t="s">
        <v>12</v>
      </c>
      <c r="AQ19" s="62" t="s">
        <v>11</v>
      </c>
      <c r="AR19" s="69"/>
      <c r="AS19" s="61" t="s">
        <v>12</v>
      </c>
      <c r="AT19" s="62" t="s">
        <v>11</v>
      </c>
      <c r="AU19" s="69"/>
      <c r="AV19" s="61" t="s">
        <v>12</v>
      </c>
      <c r="AW19" s="62" t="s">
        <v>11</v>
      </c>
      <c r="AX19" s="50"/>
      <c r="AY19" s="54"/>
      <c r="BA19" s="51"/>
      <c r="BB19" s="50"/>
      <c r="BC19" s="54"/>
    </row>
    <row r="20" spans="26:55" ht="12.75">
      <c r="Z20" s="76"/>
      <c r="AA20" s="63">
        <f>2.51/(SQRT(AB20)*(10^(-0.5/SQRT(AB20))-1/3.71*AB$17))</f>
        <v>2763292698.7391543</v>
      </c>
      <c r="AB20" s="64">
        <f aca="true" t="shared" si="0" ref="AB20:AB42">+AB21/AB$18</f>
        <v>0.004061023919790819</v>
      </c>
      <c r="AD20" s="63">
        <f>2.51/(SQRT(AE20)*(10^(-0.5/SQRT(AE20))-1/3.71*AE$17))</f>
        <v>82948.47758980757</v>
      </c>
      <c r="AE20" s="64">
        <f aca="true" t="shared" si="1" ref="AE20:AE42">+AE21/AE$18</f>
        <v>0.03859074024376233</v>
      </c>
      <c r="AG20" s="63">
        <f>2.51/(SQRT(AH20)*(10^(-0.5/SQRT(AH20))-1/3.71*AH$17))</f>
        <v>231354.7971143188</v>
      </c>
      <c r="AH20" s="64">
        <f aca="true" t="shared" si="2" ref="AH20:AH42">+AH21/AH$18</f>
        <v>0.026734023981370317</v>
      </c>
      <c r="AI20" s="63"/>
      <c r="AJ20" s="63">
        <f>2.51/(SQRT(AK20)*(10^(-0.5/SQRT(AK20))-1/3.71*AK$17))</f>
        <v>552460.9223358129</v>
      </c>
      <c r="AK20" s="64">
        <f aca="true" t="shared" si="3" ref="AK20:AK42">+AK21/AK$18</f>
        <v>0.02016928318991987</v>
      </c>
      <c r="AL20" s="63"/>
      <c r="AM20" s="63">
        <f>2.51/(SQRT(AN20)*(10^(-0.5/SQRT(AN20))-1/3.71*AN$17))</f>
        <v>12628526.532629013</v>
      </c>
      <c r="AN20" s="64">
        <f aca="true" t="shared" si="4" ref="AN20:AN42">+AN21/AN$18</f>
        <v>0.012122572961195448</v>
      </c>
      <c r="AP20" s="63">
        <f>2.51/(SQRT(AQ20)*(10^(-0.5/SQRT(AQ20))-1/3.71*AQ$17))</f>
        <v>2617727170.2179594</v>
      </c>
      <c r="AQ20" s="64">
        <f aca="true" t="shared" si="5" ref="AQ20:AQ42">+AQ21/AQ$18</f>
        <v>0.008064827197184994</v>
      </c>
      <c r="AR20" s="63"/>
      <c r="AS20" s="63">
        <f>2.51/(SQRT(AT20)*(10^(-0.5/SQRT(AT20))-1/3.71*AT$17))</f>
        <v>48931.775391834744</v>
      </c>
      <c r="AT20" s="64">
        <f aca="true" t="shared" si="6" ref="AT20:AT42">+AT21/AT$18</f>
        <v>0.04937684292427894</v>
      </c>
      <c r="AU20" s="63"/>
      <c r="AV20" s="63">
        <f>2.51/(SQRT(AW20)*(10^(-0.5/SQRT(AW20))-1/3.71*AW$17))</f>
        <v>116748.43247264609</v>
      </c>
      <c r="AW20" s="64">
        <f aca="true" t="shared" si="7" ref="AW20:AW42">+AW21/AW$18</f>
        <v>0.07165860224675855</v>
      </c>
      <c r="AX20" s="52"/>
      <c r="AY20" s="52"/>
      <c r="BB20" s="52"/>
      <c r="BC20" s="52"/>
    </row>
    <row r="21" spans="26:55" ht="12.75">
      <c r="Z21" s="76"/>
      <c r="AA21" s="63">
        <f aca="true" t="shared" si="8" ref="AA21:AA44">2.51/(SQRT(AB21)*(10^(-0.5/SQRT(AB21))-1/3.71*AB$17))</f>
        <v>1136566158.5574565</v>
      </c>
      <c r="AB21" s="64">
        <f t="shared" si="0"/>
        <v>0.004467126311769901</v>
      </c>
      <c r="AD21" s="63">
        <f aca="true" t="shared" si="9" ref="AD21:AD44">2.51/(SQRT(AE21)*(10^(-0.5/SQRT(AE21))-1/3.71*AE$17))</f>
        <v>53389.58596900229</v>
      </c>
      <c r="AE21" s="64">
        <f t="shared" si="1"/>
        <v>0.03897664764619995</v>
      </c>
      <c r="AG21" s="63">
        <f aca="true" t="shared" si="10" ref="AG21:AG44">2.51/(SQRT(AH21)*(10^(-0.5/SQRT(AH21))-1/3.71*AH$17))</f>
        <v>117637.90134479686</v>
      </c>
      <c r="AH21" s="64">
        <f t="shared" si="2"/>
        <v>0.027268704460997724</v>
      </c>
      <c r="AI21" s="63"/>
      <c r="AJ21" s="63">
        <f aca="true" t="shared" si="11" ref="AJ21:AJ44">2.51/(SQRT(AK21)*(10^(-0.5/SQRT(AK21))-1/3.71*AK$17))</f>
        <v>248522.74738191516</v>
      </c>
      <c r="AK21" s="64">
        <f t="shared" si="3"/>
        <v>0.020774361685617467</v>
      </c>
      <c r="AL21" s="63"/>
      <c r="AM21" s="63">
        <f aca="true" t="shared" si="12" ref="AM21:AM44">2.51/(SQRT(AN21)*(10^(-0.5/SQRT(AN21))-1/3.71*AN$17))</f>
        <v>2174187.226593385</v>
      </c>
      <c r="AN21" s="64">
        <f t="shared" si="4"/>
        <v>0.012740824182216415</v>
      </c>
      <c r="AP21" s="63">
        <f aca="true" t="shared" si="13" ref="AP21:AP44">2.51/(SQRT(AQ21)*(10^(-0.5/SQRT(AQ21))-1/3.71*AQ$17))</f>
        <v>18959538.008028667</v>
      </c>
      <c r="AQ21" s="64">
        <f t="shared" si="5"/>
        <v>0.008621300273790758</v>
      </c>
      <c r="AR21" s="63"/>
      <c r="AS21" s="63">
        <f aca="true" t="shared" si="14" ref="AS21:AS44">2.51/(SQRT(AT21)*(10^(-0.5/SQRT(AT21))-1/3.71*AT$17))</f>
        <v>35358.136064858794</v>
      </c>
      <c r="AT21" s="64">
        <f t="shared" si="6"/>
        <v>0.04967310398182462</v>
      </c>
      <c r="AU21" s="63"/>
      <c r="AV21" s="63">
        <f aca="true" t="shared" si="15" ref="AV21:AV44">2.51/(SQRT(AW21)*(10^(-0.5/SQRT(AW21))-1/3.71*AW$17))</f>
        <v>55775.08750312946</v>
      </c>
      <c r="AW21" s="64">
        <f t="shared" si="7"/>
        <v>0.07187357805349881</v>
      </c>
      <c r="AX21" s="52"/>
      <c r="AY21" s="52"/>
      <c r="BB21" s="52"/>
      <c r="BC21" s="52"/>
    </row>
    <row r="22" spans="26:55" ht="12.75">
      <c r="Z22" s="76"/>
      <c r="AA22" s="63">
        <f t="shared" si="8"/>
        <v>486132915.7049539</v>
      </c>
      <c r="AB22" s="64">
        <f t="shared" si="0"/>
        <v>0.004913838942946891</v>
      </c>
      <c r="AD22" s="63">
        <f t="shared" si="9"/>
        <v>39012.490991866754</v>
      </c>
      <c r="AE22" s="64">
        <f t="shared" si="1"/>
        <v>0.03936641412266195</v>
      </c>
      <c r="AG22" s="63">
        <f t="shared" si="10"/>
        <v>76828.10830975653</v>
      </c>
      <c r="AH22" s="64">
        <f t="shared" si="2"/>
        <v>0.02781407855021768</v>
      </c>
      <c r="AI22" s="63"/>
      <c r="AJ22" s="63">
        <f t="shared" si="11"/>
        <v>152802.23469650315</v>
      </c>
      <c r="AK22" s="64">
        <f t="shared" si="3"/>
        <v>0.02139759253618599</v>
      </c>
      <c r="AL22" s="63"/>
      <c r="AM22" s="63">
        <f t="shared" si="12"/>
        <v>1042096.4923492356</v>
      </c>
      <c r="AN22" s="64">
        <f t="shared" si="4"/>
        <v>0.013390606215509452</v>
      </c>
      <c r="AP22" s="63">
        <f t="shared" si="13"/>
        <v>7481016.608956248</v>
      </c>
      <c r="AQ22" s="64">
        <f t="shared" si="5"/>
        <v>0.00921616999268232</v>
      </c>
      <c r="AR22" s="63"/>
      <c r="AS22" s="63">
        <f t="shared" si="14"/>
        <v>27569.357068777954</v>
      </c>
      <c r="AT22" s="64">
        <f t="shared" si="6"/>
        <v>0.049971142605715564</v>
      </c>
      <c r="AU22" s="63"/>
      <c r="AV22" s="63">
        <f t="shared" si="15"/>
        <v>36540.02380421669</v>
      </c>
      <c r="AW22" s="64">
        <f t="shared" si="7"/>
        <v>0.07208919878765929</v>
      </c>
      <c r="AX22" s="52"/>
      <c r="AY22" s="52"/>
      <c r="BB22" s="52"/>
      <c r="BC22" s="52"/>
    </row>
    <row r="23" spans="26:55" ht="12.75">
      <c r="Z23" s="76"/>
      <c r="AA23" s="63">
        <f t="shared" si="8"/>
        <v>215832591.35823616</v>
      </c>
      <c r="AB23" s="64">
        <f t="shared" si="0"/>
        <v>0.00540522283724158</v>
      </c>
      <c r="AD23" s="63">
        <f t="shared" si="9"/>
        <v>30516.413609585896</v>
      </c>
      <c r="AE23" s="64">
        <f t="shared" si="1"/>
        <v>0.039760078263888575</v>
      </c>
      <c r="AG23" s="63">
        <f t="shared" si="10"/>
        <v>55897.65849022306</v>
      </c>
      <c r="AH23" s="64">
        <f t="shared" si="2"/>
        <v>0.028370360121222033</v>
      </c>
      <c r="AI23" s="63"/>
      <c r="AJ23" s="63">
        <f t="shared" si="11"/>
        <v>106314.21401824107</v>
      </c>
      <c r="AK23" s="64">
        <f t="shared" si="3"/>
        <v>0.022039520312271573</v>
      </c>
      <c r="AL23" s="63"/>
      <c r="AM23" s="63">
        <f t="shared" si="12"/>
        <v>621575.9681234466</v>
      </c>
      <c r="AN23" s="64">
        <f t="shared" si="4"/>
        <v>0.014073527132500433</v>
      </c>
      <c r="AP23" s="63">
        <f t="shared" si="13"/>
        <v>3902677.0218917974</v>
      </c>
      <c r="AQ23" s="64">
        <f t="shared" si="5"/>
        <v>0.0098520857221774</v>
      </c>
      <c r="AR23" s="63"/>
      <c r="AS23" s="63">
        <f t="shared" si="14"/>
        <v>22517.992289637215</v>
      </c>
      <c r="AT23" s="64">
        <f t="shared" si="6"/>
        <v>0.05027096946134986</v>
      </c>
      <c r="AU23" s="63"/>
      <c r="AV23" s="63">
        <f t="shared" si="15"/>
        <v>27114.86963913239</v>
      </c>
      <c r="AW23" s="64">
        <f t="shared" si="7"/>
        <v>0.07230546638402226</v>
      </c>
      <c r="AX23" s="52"/>
      <c r="AY23" s="52"/>
      <c r="BB23" s="52"/>
      <c r="BC23" s="52"/>
    </row>
    <row r="24" spans="26:55" ht="12.75">
      <c r="Z24" s="76"/>
      <c r="AA24" s="63">
        <f t="shared" si="8"/>
        <v>99294850.816381</v>
      </c>
      <c r="AB24" s="64">
        <f t="shared" si="0"/>
        <v>0.005945745120965739</v>
      </c>
      <c r="AD24" s="63">
        <f t="shared" si="9"/>
        <v>24909.378178382125</v>
      </c>
      <c r="AE24" s="64">
        <f t="shared" si="1"/>
        <v>0.040157679046527464</v>
      </c>
      <c r="AG24" s="63">
        <f t="shared" si="10"/>
        <v>43207.2163510493</v>
      </c>
      <c r="AH24" s="64">
        <f t="shared" si="2"/>
        <v>0.028937767323646474</v>
      </c>
      <c r="AI24" s="63"/>
      <c r="AJ24" s="63">
        <f t="shared" si="11"/>
        <v>79076.28435289102</v>
      </c>
      <c r="AK24" s="64">
        <f t="shared" si="3"/>
        <v>0.02270070592163972</v>
      </c>
      <c r="AL24" s="63"/>
      <c r="AM24" s="63">
        <f t="shared" si="12"/>
        <v>409010.3037349089</v>
      </c>
      <c r="AN24" s="64">
        <f t="shared" si="4"/>
        <v>0.014791277016257954</v>
      </c>
      <c r="AP24" s="63">
        <f t="shared" si="13"/>
        <v>2279649.210366779</v>
      </c>
      <c r="AQ24" s="64">
        <f t="shared" si="5"/>
        <v>0.01053187963700764</v>
      </c>
      <c r="AR24" s="63"/>
      <c r="AS24" s="63">
        <f t="shared" si="14"/>
        <v>18977.37207318017</v>
      </c>
      <c r="AT24" s="64">
        <f t="shared" si="6"/>
        <v>0.05057259527811796</v>
      </c>
      <c r="AU24" s="63"/>
      <c r="AV24" s="63">
        <f t="shared" si="15"/>
        <v>21520.089070775968</v>
      </c>
      <c r="AW24" s="64">
        <f t="shared" si="7"/>
        <v>0.07252238278317431</v>
      </c>
      <c r="AX24" s="52"/>
      <c r="AY24" s="52"/>
      <c r="BB24" s="52"/>
      <c r="BC24" s="52"/>
    </row>
    <row r="25" spans="26:55" ht="12.75">
      <c r="Z25" s="76"/>
      <c r="AA25" s="63">
        <f t="shared" si="8"/>
        <v>47256901.135099836</v>
      </c>
      <c r="AB25" s="64">
        <f t="shared" si="0"/>
        <v>0.006540319633062313</v>
      </c>
      <c r="AD25" s="63">
        <f t="shared" si="9"/>
        <v>20934.63866798386</v>
      </c>
      <c r="AE25" s="64">
        <f t="shared" si="1"/>
        <v>0.04055925583699274</v>
      </c>
      <c r="AG25" s="63">
        <f t="shared" si="10"/>
        <v>34718.80991265538</v>
      </c>
      <c r="AH25" s="64">
        <f t="shared" si="2"/>
        <v>0.029516522670119404</v>
      </c>
      <c r="AI25" s="63"/>
      <c r="AJ25" s="63">
        <f t="shared" si="11"/>
        <v>61331.75413788365</v>
      </c>
      <c r="AK25" s="64">
        <f t="shared" si="3"/>
        <v>0.023381727099288912</v>
      </c>
      <c r="AL25" s="63"/>
      <c r="AM25" s="63">
        <f t="shared" si="12"/>
        <v>284640.3736625252</v>
      </c>
      <c r="AN25" s="64">
        <f t="shared" si="4"/>
        <v>0.015545632144087109</v>
      </c>
      <c r="AP25" s="63">
        <f t="shared" si="13"/>
        <v>1416298.9595121893</v>
      </c>
      <c r="AQ25" s="64">
        <f t="shared" si="5"/>
        <v>0.011258579331961166</v>
      </c>
      <c r="AR25" s="63"/>
      <c r="AS25" s="63">
        <f t="shared" si="14"/>
        <v>16358.48614457989</v>
      </c>
      <c r="AT25" s="64">
        <f t="shared" si="6"/>
        <v>0.05087603084978667</v>
      </c>
      <c r="AU25" s="63"/>
      <c r="AV25" s="63">
        <f t="shared" si="15"/>
        <v>17815.184321481254</v>
      </c>
      <c r="AW25" s="64">
        <f t="shared" si="7"/>
        <v>0.07273994993152383</v>
      </c>
      <c r="AX25" s="52"/>
      <c r="AY25" s="52"/>
      <c r="BB25" s="52"/>
      <c r="BC25" s="52"/>
    </row>
    <row r="26" spans="26:55" ht="12.75">
      <c r="Z26" s="76"/>
      <c r="AA26" s="63">
        <f t="shared" si="8"/>
        <v>23229888.20498718</v>
      </c>
      <c r="AB26" s="64">
        <f t="shared" si="0"/>
        <v>0.007194351596368545</v>
      </c>
      <c r="AD26" s="63">
        <f t="shared" si="9"/>
        <v>17972.017257134878</v>
      </c>
      <c r="AE26" s="64">
        <f t="shared" si="1"/>
        <v>0.04096484839536267</v>
      </c>
      <c r="AG26" s="63">
        <f t="shared" si="10"/>
        <v>28661.46175535449</v>
      </c>
      <c r="AH26" s="64">
        <f t="shared" si="2"/>
        <v>0.030106853123521793</v>
      </c>
      <c r="AI26" s="63"/>
      <c r="AJ26" s="63">
        <f t="shared" si="11"/>
        <v>48956.15969264353</v>
      </c>
      <c r="AK26" s="64">
        <f t="shared" si="3"/>
        <v>0.02408317891226758</v>
      </c>
      <c r="AL26" s="63"/>
      <c r="AM26" s="63">
        <f t="shared" si="12"/>
        <v>205415.76685257538</v>
      </c>
      <c r="AN26" s="64">
        <f t="shared" si="4"/>
        <v>0.01633845938343555</v>
      </c>
      <c r="AP26" s="63">
        <f t="shared" si="13"/>
        <v>915268.3609575289</v>
      </c>
      <c r="AQ26" s="64">
        <f t="shared" si="5"/>
        <v>0.012035421305866486</v>
      </c>
      <c r="AR26" s="63"/>
      <c r="AS26" s="63">
        <f t="shared" si="14"/>
        <v>14343.294705820248</v>
      </c>
      <c r="AT26" s="64">
        <f t="shared" si="6"/>
        <v>0.051181287034885385</v>
      </c>
      <c r="AU26" s="63"/>
      <c r="AV26" s="63">
        <f t="shared" si="15"/>
        <v>15181.050265273687</v>
      </c>
      <c r="AW26" s="64">
        <f t="shared" si="7"/>
        <v>0.07295816978131839</v>
      </c>
      <c r="AX26" s="52"/>
      <c r="AY26" s="52"/>
      <c r="BB26" s="52"/>
      <c r="BC26" s="52"/>
    </row>
    <row r="27" spans="26:55" ht="12.75">
      <c r="Z27" s="76"/>
      <c r="AA27" s="63">
        <f t="shared" si="8"/>
        <v>11776570.236089911</v>
      </c>
      <c r="AB27" s="64">
        <f t="shared" si="0"/>
        <v>0.0079137867560054</v>
      </c>
      <c r="AD27" s="63">
        <f t="shared" si="9"/>
        <v>15680.161857769066</v>
      </c>
      <c r="AE27" s="64">
        <f t="shared" si="1"/>
        <v>0.0413744968793163</v>
      </c>
      <c r="AG27" s="63">
        <f t="shared" si="10"/>
        <v>24136.098431075196</v>
      </c>
      <c r="AH27" s="64">
        <f t="shared" si="2"/>
        <v>0.03070899018599223</v>
      </c>
      <c r="AI27" s="63"/>
      <c r="AJ27" s="63">
        <f t="shared" si="11"/>
        <v>39905.945155707974</v>
      </c>
      <c r="AK27" s="64">
        <f t="shared" si="3"/>
        <v>0.02480567427963561</v>
      </c>
      <c r="AL27" s="63"/>
      <c r="AM27" s="63">
        <f t="shared" si="12"/>
        <v>152087.9659376492</v>
      </c>
      <c r="AN27" s="64">
        <f t="shared" si="4"/>
        <v>0.01717172081199076</v>
      </c>
      <c r="AP27" s="63">
        <f>2.51/(SQRT(AQ27)*(10^(-0.5/SQRT(AQ27))-1/3.71*AQ$17))</f>
        <v>608254.3574982784</v>
      </c>
      <c r="AQ27" s="64">
        <f t="shared" si="5"/>
        <v>0.012865865375971272</v>
      </c>
      <c r="AR27" s="63"/>
      <c r="AS27" s="63">
        <f t="shared" si="14"/>
        <v>12744.978416647631</v>
      </c>
      <c r="AT27" s="64">
        <f t="shared" si="6"/>
        <v>0.051488374757094696</v>
      </c>
      <c r="AU27" s="63"/>
      <c r="AV27" s="63">
        <f t="shared" si="15"/>
        <v>13212.18024167242</v>
      </c>
      <c r="AW27" s="64">
        <f t="shared" si="7"/>
        <v>0.07317704429066234</v>
      </c>
      <c r="AX27" s="52"/>
      <c r="AY27" s="52"/>
      <c r="BB27" s="52"/>
      <c r="BC27" s="52"/>
    </row>
    <row r="28" spans="26:55" ht="12.75">
      <c r="Z28" s="76"/>
      <c r="AA28" s="63">
        <f t="shared" si="8"/>
        <v>6148330.887555784</v>
      </c>
      <c r="AB28" s="64">
        <f t="shared" si="0"/>
        <v>0.008705165431605941</v>
      </c>
      <c r="AD28" s="63">
        <f t="shared" si="9"/>
        <v>13855.682605330367</v>
      </c>
      <c r="AE28" s="64">
        <f t="shared" si="1"/>
        <v>0.04178824184810946</v>
      </c>
      <c r="AG28" s="63">
        <f t="shared" si="10"/>
        <v>20637.790403588875</v>
      </c>
      <c r="AH28" s="64">
        <f t="shared" si="2"/>
        <v>0.031323169989712074</v>
      </c>
      <c r="AI28" s="63"/>
      <c r="AJ28" s="63">
        <f t="shared" si="11"/>
        <v>33053.32666008794</v>
      </c>
      <c r="AK28" s="64">
        <f t="shared" si="3"/>
        <v>0.02554984450802468</v>
      </c>
      <c r="AL28" s="63"/>
      <c r="AM28" s="63">
        <f t="shared" si="12"/>
        <v>114785.73615166557</v>
      </c>
      <c r="AN28" s="64">
        <f t="shared" si="4"/>
        <v>0.01804747857340229</v>
      </c>
      <c r="AP28" s="63">
        <f t="shared" si="13"/>
        <v>412991.03784157935</v>
      </c>
      <c r="AQ28" s="64">
        <f t="shared" si="5"/>
        <v>0.013753610086913289</v>
      </c>
      <c r="AR28" s="63"/>
      <c r="AS28" s="63">
        <f t="shared" si="14"/>
        <v>11446.590769979508</v>
      </c>
      <c r="AT28" s="64">
        <f t="shared" si="6"/>
        <v>0.05179730500563726</v>
      </c>
      <c r="AU28" s="63"/>
      <c r="AV28" s="63">
        <f t="shared" si="15"/>
        <v>11684.873629885937</v>
      </c>
      <c r="AW28" s="64">
        <f t="shared" si="7"/>
        <v>0.07339657542353431</v>
      </c>
      <c r="AX28" s="52"/>
      <c r="AY28" s="52"/>
      <c r="BB28" s="52"/>
      <c r="BC28" s="52"/>
    </row>
    <row r="29" spans="26:55" ht="12.75">
      <c r="Z29" s="76"/>
      <c r="AA29" s="63">
        <f t="shared" si="8"/>
        <v>3301172.4128733356</v>
      </c>
      <c r="AB29" s="64">
        <f t="shared" si="0"/>
        <v>0.009575681974766536</v>
      </c>
      <c r="AD29" s="63">
        <f t="shared" si="9"/>
        <v>12369.849120088596</v>
      </c>
      <c r="AE29" s="64">
        <f t="shared" si="1"/>
        <v>0.04220612426659056</v>
      </c>
      <c r="AG29" s="63">
        <f t="shared" si="10"/>
        <v>17861.111948847418</v>
      </c>
      <c r="AH29" s="64">
        <f t="shared" si="2"/>
        <v>0.031949633389506314</v>
      </c>
      <c r="AI29" s="63"/>
      <c r="AJ29" s="63">
        <f t="shared" si="11"/>
        <v>27725.183468118077</v>
      </c>
      <c r="AK29" s="64">
        <f t="shared" si="3"/>
        <v>0.02631633984326542</v>
      </c>
      <c r="AL29" s="63"/>
      <c r="AM29" s="63">
        <f t="shared" si="12"/>
        <v>87946.63672327137</v>
      </c>
      <c r="AN29" s="64">
        <f t="shared" si="4"/>
        <v>0.018967899980645804</v>
      </c>
      <c r="AP29" s="63">
        <f t="shared" si="13"/>
        <v>285354.9213854629</v>
      </c>
      <c r="AQ29" s="64">
        <f t="shared" si="5"/>
        <v>0.014702609182910305</v>
      </c>
      <c r="AR29" s="63"/>
      <c r="AS29" s="63">
        <f t="shared" si="14"/>
        <v>10371.184701151862</v>
      </c>
      <c r="AT29" s="64">
        <f t="shared" si="6"/>
        <v>0.052108088835671085</v>
      </c>
      <c r="AU29" s="63"/>
      <c r="AV29" s="63">
        <f t="shared" si="15"/>
        <v>10465.6158332715</v>
      </c>
      <c r="AW29" s="64">
        <f t="shared" si="7"/>
        <v>0.0736167651498049</v>
      </c>
      <c r="AX29" s="52"/>
      <c r="AY29" s="52"/>
      <c r="BB29" s="52"/>
      <c r="BC29" s="52"/>
    </row>
    <row r="30" spans="26:55" ht="12.75">
      <c r="Z30" s="76"/>
      <c r="AA30" s="63">
        <f t="shared" si="8"/>
        <v>1820477.3165600668</v>
      </c>
      <c r="AB30" s="64">
        <f t="shared" si="0"/>
        <v>0.01053325017224319</v>
      </c>
      <c r="AD30" s="63">
        <f t="shared" si="9"/>
        <v>11137.213117588566</v>
      </c>
      <c r="AE30" s="64">
        <f t="shared" si="1"/>
        <v>0.04262818550925646</v>
      </c>
      <c r="AG30" s="63">
        <f t="shared" si="10"/>
        <v>15610.476396449385</v>
      </c>
      <c r="AH30" s="64">
        <f t="shared" si="2"/>
        <v>0.03258862605729644</v>
      </c>
      <c r="AI30" s="63"/>
      <c r="AJ30" s="63">
        <f t="shared" si="11"/>
        <v>23495.076775894882</v>
      </c>
      <c r="AK30" s="64">
        <f t="shared" si="3"/>
        <v>0.027105830038563383</v>
      </c>
      <c r="AL30" s="63"/>
      <c r="AM30" s="63">
        <f t="shared" si="12"/>
        <v>68214.51042056081</v>
      </c>
      <c r="AN30" s="64">
        <f t="shared" si="4"/>
        <v>0.01993526287965874</v>
      </c>
      <c r="AP30" s="63">
        <f t="shared" si="13"/>
        <v>200123.54420564775</v>
      </c>
      <c r="AQ30" s="64">
        <f t="shared" si="5"/>
        <v>0.015717089216531116</v>
      </c>
      <c r="AR30" s="63"/>
      <c r="AS30" s="63">
        <f t="shared" si="14"/>
        <v>9466.058360189103</v>
      </c>
      <c r="AT30" s="64">
        <f t="shared" si="6"/>
        <v>0.05242073736868511</v>
      </c>
      <c r="AU30" s="63"/>
      <c r="AV30" s="63">
        <f t="shared" si="15"/>
        <v>9469.790900299633</v>
      </c>
      <c r="AW30" s="64">
        <f t="shared" si="7"/>
        <v>0.07383761544525431</v>
      </c>
      <c r="AX30" s="52"/>
      <c r="AY30" s="52"/>
      <c r="BB30" s="52"/>
      <c r="BC30" s="52"/>
    </row>
    <row r="31" spans="26:55" ht="12.75">
      <c r="Z31" s="76"/>
      <c r="AA31" s="63">
        <f t="shared" si="8"/>
        <v>1029836.5682311183</v>
      </c>
      <c r="AB31" s="64">
        <f t="shared" si="0"/>
        <v>0.01158657518946751</v>
      </c>
      <c r="AD31" s="63">
        <f t="shared" si="9"/>
        <v>10098.828528692517</v>
      </c>
      <c r="AE31" s="64">
        <f t="shared" si="1"/>
        <v>0.04305446736434903</v>
      </c>
      <c r="AG31" s="63">
        <f t="shared" si="10"/>
        <v>13754.841855884233</v>
      </c>
      <c r="AH31" s="64">
        <f t="shared" si="2"/>
        <v>0.03324039857844237</v>
      </c>
      <c r="AI31" s="63"/>
      <c r="AJ31" s="63">
        <f t="shared" si="11"/>
        <v>20079.868306796816</v>
      </c>
      <c r="AK31" s="64">
        <f t="shared" si="3"/>
        <v>0.027919004939720285</v>
      </c>
      <c r="AL31" s="63"/>
      <c r="AM31" s="63">
        <f t="shared" si="12"/>
        <v>53457.52144969617</v>
      </c>
      <c r="AN31" s="64">
        <f t="shared" si="4"/>
        <v>0.020951961286521336</v>
      </c>
      <c r="AP31" s="63">
        <f t="shared" si="13"/>
        <v>142205.08693077782</v>
      </c>
      <c r="AQ31" s="64">
        <f t="shared" si="5"/>
        <v>0.01680156837247176</v>
      </c>
      <c r="AR31" s="63"/>
      <c r="AS31" s="63">
        <f t="shared" si="14"/>
        <v>8693.903151634882</v>
      </c>
      <c r="AT31" s="64">
        <f t="shared" si="6"/>
        <v>0.052735261792897226</v>
      </c>
      <c r="AU31" s="63"/>
      <c r="AV31" s="63">
        <f t="shared" si="15"/>
        <v>8641.173345790481</v>
      </c>
      <c r="AW31" s="64">
        <f t="shared" si="7"/>
        <v>0.07405912829159007</v>
      </c>
      <c r="AX31" s="52"/>
      <c r="AY31" s="52"/>
      <c r="BB31" s="52"/>
      <c r="BC31" s="52"/>
    </row>
    <row r="32" spans="26:55" ht="12.75">
      <c r="Z32" s="76"/>
      <c r="AA32" s="63">
        <f t="shared" si="8"/>
        <v>596901.04163383</v>
      </c>
      <c r="AB32" s="64">
        <f t="shared" si="0"/>
        <v>0.012745232708414262</v>
      </c>
      <c r="AD32" s="63">
        <f t="shared" si="9"/>
        <v>9212.716287529653</v>
      </c>
      <c r="AE32" s="64">
        <f t="shared" si="1"/>
        <v>0.04348501203799252</v>
      </c>
      <c r="AG32" s="63">
        <f t="shared" si="10"/>
        <v>12203.122977827257</v>
      </c>
      <c r="AH32" s="64">
        <f t="shared" si="2"/>
        <v>0.03390520655001122</v>
      </c>
      <c r="AI32" s="63"/>
      <c r="AJ32" s="63">
        <f t="shared" si="11"/>
        <v>17284.309704655574</v>
      </c>
      <c r="AK32" s="64">
        <f t="shared" si="3"/>
        <v>0.028756575087911896</v>
      </c>
      <c r="AL32" s="63"/>
      <c r="AM32" s="63">
        <f t="shared" si="12"/>
        <v>42266.61598707153</v>
      </c>
      <c r="AN32" s="64">
        <f t="shared" si="4"/>
        <v>0.022020511312133922</v>
      </c>
      <c r="AP32" s="63">
        <f t="shared" si="13"/>
        <v>102256.61696403412</v>
      </c>
      <c r="AQ32" s="64">
        <f t="shared" si="5"/>
        <v>0.01796087659017231</v>
      </c>
      <c r="AR32" s="63"/>
      <c r="AS32" s="63">
        <f t="shared" si="14"/>
        <v>8027.566091020809</v>
      </c>
      <c r="AT32" s="64">
        <f t="shared" si="6"/>
        <v>0.05305167336365461</v>
      </c>
      <c r="AU32" s="63"/>
      <c r="AV32" s="63">
        <f t="shared" si="15"/>
        <v>7940.9426099022985</v>
      </c>
      <c r="AW32" s="64">
        <f t="shared" si="7"/>
        <v>0.07428130567646483</v>
      </c>
      <c r="AX32" s="52"/>
      <c r="AY32" s="52"/>
      <c r="BB32" s="52"/>
      <c r="BC32" s="52"/>
    </row>
    <row r="33" spans="26:55" ht="12.75">
      <c r="Z33" s="76"/>
      <c r="AA33" s="63">
        <f t="shared" si="8"/>
        <v>354075.87686809554</v>
      </c>
      <c r="AB33" s="64">
        <f t="shared" si="0"/>
        <v>0.014019755979255689</v>
      </c>
      <c r="AD33" s="63">
        <f t="shared" si="9"/>
        <v>8448.16957060562</v>
      </c>
      <c r="AE33" s="64">
        <f t="shared" si="1"/>
        <v>0.04391986215837245</v>
      </c>
      <c r="AG33" s="63">
        <f t="shared" si="10"/>
        <v>10890.047277556652</v>
      </c>
      <c r="AH33" s="64">
        <f t="shared" si="2"/>
        <v>0.03458331068101144</v>
      </c>
      <c r="AI33" s="63"/>
      <c r="AJ33" s="63">
        <f t="shared" si="11"/>
        <v>14969.496531547373</v>
      </c>
      <c r="AK33" s="64">
        <f t="shared" si="3"/>
        <v>0.029619272340549254</v>
      </c>
      <c r="AL33" s="63"/>
      <c r="AM33" s="63">
        <f t="shared" si="12"/>
        <v>33680.77961123337</v>
      </c>
      <c r="AN33" s="64">
        <f t="shared" si="4"/>
        <v>0.02314355738905275</v>
      </c>
      <c r="AP33" s="63">
        <f t="shared" si="13"/>
        <v>74339.79435608412</v>
      </c>
      <c r="AQ33" s="64">
        <f t="shared" si="5"/>
        <v>0.0192001770748942</v>
      </c>
      <c r="AR33" s="63"/>
      <c r="AS33" s="63">
        <f t="shared" si="14"/>
        <v>7446.814468163974</v>
      </c>
      <c r="AT33" s="64">
        <f t="shared" si="6"/>
        <v>0.053369983403836536</v>
      </c>
      <c r="AU33" s="63"/>
      <c r="AV33" s="63">
        <f t="shared" si="15"/>
        <v>7341.432071451396</v>
      </c>
      <c r="AW33" s="64">
        <f t="shared" si="7"/>
        <v>0.07450414959349422</v>
      </c>
      <c r="AX33" s="52"/>
      <c r="AY33" s="52"/>
      <c r="BB33" s="52"/>
      <c r="BC33" s="52"/>
    </row>
    <row r="34" spans="26:55" ht="12.75">
      <c r="Z34" s="76"/>
      <c r="AA34" s="63">
        <f t="shared" si="8"/>
        <v>214724.7726620877</v>
      </c>
      <c r="AB34" s="64">
        <f t="shared" si="0"/>
        <v>0.015421731577181259</v>
      </c>
      <c r="AD34" s="63">
        <f t="shared" si="9"/>
        <v>7782.208405170042</v>
      </c>
      <c r="AE34" s="64">
        <f t="shared" si="1"/>
        <v>0.044359060779956175</v>
      </c>
      <c r="AG34" s="63">
        <f t="shared" si="10"/>
        <v>9767.622142454185</v>
      </c>
      <c r="AH34" s="64">
        <f t="shared" si="2"/>
        <v>0.03527497689463167</v>
      </c>
      <c r="AI34" s="63"/>
      <c r="AJ34" s="63">
        <f t="shared" si="11"/>
        <v>13033.997875794472</v>
      </c>
      <c r="AK34" s="64">
        <f t="shared" si="3"/>
        <v>0.03050785051076573</v>
      </c>
      <c r="AL34" s="63"/>
      <c r="AM34" s="63">
        <f t="shared" si="12"/>
        <v>27027.829587657223</v>
      </c>
      <c r="AN34" s="64">
        <f t="shared" si="4"/>
        <v>0.02432387881589444</v>
      </c>
      <c r="AP34" s="63">
        <f t="shared" si="13"/>
        <v>54599.680546169184</v>
      </c>
      <c r="AQ34" s="64">
        <f t="shared" si="5"/>
        <v>0.020524989293061898</v>
      </c>
      <c r="AR34" s="63"/>
      <c r="AS34" s="63">
        <f t="shared" si="14"/>
        <v>6936.263266991594</v>
      </c>
      <c r="AT34" s="64">
        <f t="shared" si="6"/>
        <v>0.053690203304259554</v>
      </c>
      <c r="AU34" s="63"/>
      <c r="AV34" s="63">
        <f t="shared" si="15"/>
        <v>6822.391569301572</v>
      </c>
      <c r="AW34" s="64">
        <f t="shared" si="7"/>
        <v>0.0747276620422747</v>
      </c>
      <c r="AX34" s="52"/>
      <c r="AY34" s="52"/>
      <c r="BB34" s="52"/>
      <c r="BC34" s="52"/>
    </row>
    <row r="35" spans="26:55" ht="12.75">
      <c r="Z35" s="76"/>
      <c r="AA35" s="63">
        <f t="shared" si="8"/>
        <v>132988.28809129936</v>
      </c>
      <c r="AB35" s="64">
        <f t="shared" si="0"/>
        <v>0.016963904734899386</v>
      </c>
      <c r="AD35" s="63">
        <f t="shared" si="9"/>
        <v>7197.293218395648</v>
      </c>
      <c r="AE35" s="64">
        <f t="shared" si="1"/>
        <v>0.044802651387755736</v>
      </c>
      <c r="AG35" s="63">
        <f t="shared" si="10"/>
        <v>8799.776864859301</v>
      </c>
      <c r="AH35" s="64">
        <f t="shared" si="2"/>
        <v>0.0359804764325243</v>
      </c>
      <c r="AI35" s="63"/>
      <c r="AJ35" s="63">
        <f t="shared" si="11"/>
        <v>11402.091769865578</v>
      </c>
      <c r="AK35" s="64">
        <f t="shared" si="3"/>
        <v>0.031423086026088703</v>
      </c>
      <c r="AL35" s="63"/>
      <c r="AM35" s="63">
        <f t="shared" si="12"/>
        <v>21827.817632255552</v>
      </c>
      <c r="AN35" s="64">
        <f t="shared" si="4"/>
        <v>0.025564396635505054</v>
      </c>
      <c r="AP35" s="63">
        <f t="shared" si="13"/>
        <v>40489.624480992105</v>
      </c>
      <c r="AQ35" s="64">
        <f t="shared" si="5"/>
        <v>0.02194121355428317</v>
      </c>
      <c r="AR35" s="63"/>
      <c r="AS35" s="63">
        <f t="shared" si="14"/>
        <v>6484.005360267551</v>
      </c>
      <c r="AT35" s="64">
        <f t="shared" si="6"/>
        <v>0.05401234452408511</v>
      </c>
      <c r="AU35" s="63"/>
      <c r="AV35" s="63">
        <f t="shared" si="15"/>
        <v>6368.658367063367</v>
      </c>
      <c r="AW35" s="64">
        <f t="shared" si="7"/>
        <v>0.07495184502840152</v>
      </c>
      <c r="AX35" s="52"/>
      <c r="AY35" s="52"/>
      <c r="BB35" s="52"/>
      <c r="BC35" s="52"/>
    </row>
    <row r="36" spans="26:55" ht="12.75">
      <c r="Z36" s="76"/>
      <c r="AA36" s="63">
        <f t="shared" si="8"/>
        <v>84035.82469966105</v>
      </c>
      <c r="AB36" s="64">
        <f t="shared" si="0"/>
        <v>0.018660295208389327</v>
      </c>
      <c r="AD36" s="63">
        <f t="shared" si="9"/>
        <v>6679.804922098816</v>
      </c>
      <c r="AE36" s="64">
        <f t="shared" si="1"/>
        <v>0.04525067790163329</v>
      </c>
      <c r="AG36" s="63">
        <f t="shared" si="10"/>
        <v>7958.881874841878</v>
      </c>
      <c r="AH36" s="64">
        <f t="shared" si="2"/>
        <v>0.036700085961174786</v>
      </c>
      <c r="AI36" s="63"/>
      <c r="AJ36" s="63">
        <f t="shared" si="11"/>
        <v>10016.16858244715</v>
      </c>
      <c r="AK36" s="64">
        <f t="shared" si="3"/>
        <v>0.032365778606871363</v>
      </c>
      <c r="AL36" s="63"/>
      <c r="AM36" s="63">
        <f t="shared" si="12"/>
        <v>17732.146490791576</v>
      </c>
      <c r="AN36" s="64">
        <f t="shared" si="4"/>
        <v>0.026868180863915812</v>
      </c>
      <c r="AP36" s="63">
        <f t="shared" si="13"/>
        <v>30301.928730591484</v>
      </c>
      <c r="AQ36" s="64">
        <f t="shared" si="5"/>
        <v>0.023455157289528707</v>
      </c>
      <c r="AR36" s="63"/>
      <c r="AS36" s="63">
        <f t="shared" si="14"/>
        <v>6080.681335620244</v>
      </c>
      <c r="AT36" s="64">
        <f t="shared" si="6"/>
        <v>0.054336418591229625</v>
      </c>
      <c r="AU36" s="63"/>
      <c r="AV36" s="63">
        <f t="shared" si="15"/>
        <v>5968.65393179248</v>
      </c>
      <c r="AW36" s="64">
        <f t="shared" si="7"/>
        <v>0.07517670056348671</v>
      </c>
      <c r="AX36" s="52"/>
      <c r="AY36" s="52"/>
      <c r="BB36" s="52"/>
      <c r="BC36" s="52"/>
    </row>
    <row r="37" spans="26:55" ht="12.75">
      <c r="Z37" s="76"/>
      <c r="AA37" s="63">
        <f t="shared" si="8"/>
        <v>54128.94544849816</v>
      </c>
      <c r="AB37" s="64">
        <f t="shared" si="0"/>
        <v>0.02052632472922826</v>
      </c>
      <c r="AD37" s="63">
        <f t="shared" si="9"/>
        <v>6219.007586140427</v>
      </c>
      <c r="AE37" s="64">
        <f t="shared" si="1"/>
        <v>0.04570318468064963</v>
      </c>
      <c r="AG37" s="63">
        <f t="shared" si="10"/>
        <v>7223.420184269315</v>
      </c>
      <c r="AH37" s="64">
        <f t="shared" si="2"/>
        <v>0.037434087680398284</v>
      </c>
      <c r="AI37" s="63"/>
      <c r="AJ37" s="63">
        <f t="shared" si="11"/>
        <v>8831.675365710193</v>
      </c>
      <c r="AK37" s="64">
        <f t="shared" si="3"/>
        <v>0.0333367519650775</v>
      </c>
      <c r="AL37" s="63"/>
      <c r="AM37" s="63">
        <f t="shared" si="12"/>
        <v>14483.95485584763</v>
      </c>
      <c r="AN37" s="64">
        <f t="shared" si="4"/>
        <v>0.028238458087975517</v>
      </c>
      <c r="AP37" s="63">
        <f t="shared" si="13"/>
        <v>22876.373330946873</v>
      </c>
      <c r="AQ37" s="64">
        <f t="shared" si="5"/>
        <v>0.025073563142506188</v>
      </c>
      <c r="AR37" s="63"/>
      <c r="AS37" s="63">
        <f t="shared" si="14"/>
        <v>5718.832697680083</v>
      </c>
      <c r="AT37" s="64">
        <f t="shared" si="6"/>
        <v>0.054662437102777</v>
      </c>
      <c r="AU37" s="63"/>
      <c r="AV37" s="63">
        <f t="shared" si="15"/>
        <v>5613.383974456613</v>
      </c>
      <c r="AW37" s="64">
        <f t="shared" si="7"/>
        <v>0.07540223066517716</v>
      </c>
      <c r="AX37" s="52"/>
      <c r="AY37" s="52"/>
      <c r="BB37" s="52"/>
      <c r="BC37" s="52"/>
    </row>
    <row r="38" spans="26:55" ht="12.75">
      <c r="Z38" s="76"/>
      <c r="AA38" s="63">
        <f t="shared" si="8"/>
        <v>35507.637811023924</v>
      </c>
      <c r="AB38" s="64">
        <f t="shared" si="0"/>
        <v>0.022578957202151088</v>
      </c>
      <c r="AD38" s="63">
        <f t="shared" si="9"/>
        <v>5806.323920252027</v>
      </c>
      <c r="AE38" s="64">
        <f t="shared" si="1"/>
        <v>0.046160216527456124</v>
      </c>
      <c r="AG38" s="63">
        <f t="shared" si="10"/>
        <v>6576.389318531013</v>
      </c>
      <c r="AH38" s="64">
        <f t="shared" si="2"/>
        <v>0.03818276943400625</v>
      </c>
      <c r="AI38" s="63"/>
      <c r="AJ38" s="63">
        <f t="shared" si="11"/>
        <v>7813.66173266376</v>
      </c>
      <c r="AK38" s="64">
        <f t="shared" si="3"/>
        <v>0.034336854524029826</v>
      </c>
      <c r="AL38" s="63"/>
      <c r="AM38" s="63">
        <f t="shared" si="12"/>
        <v>11891.639987665569</v>
      </c>
      <c r="AN38" s="64">
        <f t="shared" si="4"/>
        <v>0.029678619450462265</v>
      </c>
      <c r="AP38" s="63">
        <f t="shared" si="13"/>
        <v>17415.394745259466</v>
      </c>
      <c r="AQ38" s="64">
        <f t="shared" si="5"/>
        <v>0.026803638999339113</v>
      </c>
      <c r="AR38" s="63"/>
      <c r="AS38" s="63">
        <f t="shared" si="14"/>
        <v>5392.442594707438</v>
      </c>
      <c r="AT38" s="64">
        <f t="shared" si="6"/>
        <v>0.054990411725393665</v>
      </c>
      <c r="AU38" s="63"/>
      <c r="AV38" s="63">
        <f t="shared" si="15"/>
        <v>5295.755573102871</v>
      </c>
      <c r="AW38" s="64">
        <f t="shared" si="7"/>
        <v>0.07562843735717269</v>
      </c>
      <c r="AX38" s="52"/>
      <c r="AY38" s="52"/>
      <c r="BB38" s="52"/>
      <c r="BC38" s="52"/>
    </row>
    <row r="39" spans="26:55" ht="12.75">
      <c r="Z39" s="76"/>
      <c r="AA39" s="63">
        <f t="shared" si="8"/>
        <v>23701.30201981311</v>
      </c>
      <c r="AB39" s="64">
        <f t="shared" si="0"/>
        <v>0.024836852922366197</v>
      </c>
      <c r="AD39" s="63">
        <f t="shared" si="9"/>
        <v>5434.8187809652445</v>
      </c>
      <c r="AE39" s="64">
        <f t="shared" si="1"/>
        <v>0.04662181869273069</v>
      </c>
      <c r="AG39" s="63">
        <f t="shared" si="10"/>
        <v>6004.179654903769</v>
      </c>
      <c r="AH39" s="64">
        <f t="shared" si="2"/>
        <v>0.03894642482268638</v>
      </c>
      <c r="AI39" s="63"/>
      <c r="AJ39" s="63">
        <f t="shared" si="11"/>
        <v>6934.364922232742</v>
      </c>
      <c r="AK39" s="64">
        <f t="shared" si="3"/>
        <v>0.03536696015975072</v>
      </c>
      <c r="AL39" s="63"/>
      <c r="AM39" s="63">
        <f t="shared" si="12"/>
        <v>9810.753672216817</v>
      </c>
      <c r="AN39" s="64">
        <f t="shared" si="4"/>
        <v>0.031192229042435838</v>
      </c>
      <c r="AP39" s="63">
        <f t="shared" si="13"/>
        <v>13364.83054330038</v>
      </c>
      <c r="AQ39" s="64">
        <f t="shared" si="5"/>
        <v>0.02865309009029351</v>
      </c>
      <c r="AR39" s="63"/>
      <c r="AS39" s="63">
        <f t="shared" si="14"/>
        <v>5096.6035635183325</v>
      </c>
      <c r="AT39" s="64">
        <f t="shared" si="6"/>
        <v>0.055320354195746026</v>
      </c>
      <c r="AU39" s="63"/>
      <c r="AV39" s="63">
        <f t="shared" si="15"/>
        <v>5010.099963827532</v>
      </c>
      <c r="AW39" s="64">
        <f t="shared" si="7"/>
        <v>0.07585532266924419</v>
      </c>
      <c r="AX39" s="52"/>
      <c r="AY39" s="52"/>
      <c r="BB39" s="52"/>
      <c r="BC39" s="52"/>
    </row>
    <row r="40" spans="26:55" ht="12.75">
      <c r="Z40" s="76"/>
      <c r="AA40" s="63">
        <f t="shared" si="8"/>
        <v>16085.297443679743</v>
      </c>
      <c r="AB40" s="64">
        <f t="shared" si="0"/>
        <v>0.02732053821460282</v>
      </c>
      <c r="AD40" s="63">
        <f t="shared" si="9"/>
        <v>5098.824202549939</v>
      </c>
      <c r="AE40" s="64">
        <f t="shared" si="1"/>
        <v>0.04708803687965799</v>
      </c>
      <c r="AG40" s="63">
        <f t="shared" si="10"/>
        <v>5495.771307059398</v>
      </c>
      <c r="AH40" s="64">
        <f t="shared" si="2"/>
        <v>0.03972535331914011</v>
      </c>
      <c r="AI40" s="63"/>
      <c r="AJ40" s="63">
        <f t="shared" si="11"/>
        <v>6171.486641265768</v>
      </c>
      <c r="AK40" s="64">
        <f t="shared" si="3"/>
        <v>0.03642796896454324</v>
      </c>
      <c r="AL40" s="63"/>
      <c r="AM40" s="63">
        <f t="shared" si="12"/>
        <v>8131.380562439046</v>
      </c>
      <c r="AN40" s="64">
        <f t="shared" si="4"/>
        <v>0.032783032723600065</v>
      </c>
      <c r="AP40" s="63">
        <f t="shared" si="13"/>
        <v>10335.808521285571</v>
      </c>
      <c r="AQ40" s="64">
        <f t="shared" si="5"/>
        <v>0.03063015330652376</v>
      </c>
      <c r="AR40" s="63"/>
      <c r="AS40" s="63">
        <f t="shared" si="14"/>
        <v>4827.273115143411</v>
      </c>
      <c r="AT40" s="64">
        <f t="shared" si="6"/>
        <v>0.0556522763209205</v>
      </c>
      <c r="AU40" s="63"/>
      <c r="AV40" s="63">
        <f t="shared" si="15"/>
        <v>4751.8321871820735</v>
      </c>
      <c r="AW40" s="64">
        <f t="shared" si="7"/>
        <v>0.07608288863725192</v>
      </c>
      <c r="AX40" s="52"/>
      <c r="AY40" s="52"/>
      <c r="BB40" s="52"/>
      <c r="BC40" s="52"/>
    </row>
    <row r="41" spans="26:55" ht="12.75">
      <c r="Z41" s="76"/>
      <c r="AA41" s="63">
        <f t="shared" si="8"/>
        <v>11090.652196915884</v>
      </c>
      <c r="AB41" s="64">
        <f t="shared" si="0"/>
        <v>0.030052592036063103</v>
      </c>
      <c r="AD41" s="63">
        <f t="shared" si="9"/>
        <v>4793.662685716172</v>
      </c>
      <c r="AE41" s="64">
        <f t="shared" si="1"/>
        <v>0.047558917248454576</v>
      </c>
      <c r="AG41" s="63">
        <f t="shared" si="10"/>
        <v>5042.148774971035</v>
      </c>
      <c r="AH41" s="64">
        <f t="shared" si="2"/>
        <v>0.04051986038552291</v>
      </c>
      <c r="AI41" s="63"/>
      <c r="AJ41" s="63">
        <f t="shared" si="11"/>
        <v>5506.940995079654</v>
      </c>
      <c r="AK41" s="64">
        <f t="shared" si="3"/>
        <v>0.03752080803347954</v>
      </c>
      <c r="AL41" s="63"/>
      <c r="AM41" s="63">
        <f t="shared" si="12"/>
        <v>6769.190516111479</v>
      </c>
      <c r="AN41" s="64">
        <f t="shared" si="4"/>
        <v>0.034454967392503665</v>
      </c>
      <c r="AP41" s="63">
        <f t="shared" si="13"/>
        <v>8052.908114520918</v>
      </c>
      <c r="AQ41" s="64">
        <f t="shared" si="5"/>
        <v>0.0327436338846739</v>
      </c>
      <c r="AR41" s="63"/>
      <c r="AS41" s="63">
        <f t="shared" si="14"/>
        <v>4581.091211036919</v>
      </c>
      <c r="AT41" s="64">
        <f t="shared" si="6"/>
        <v>0.055986189978846024</v>
      </c>
      <c r="AU41" s="63"/>
      <c r="AV41" s="63">
        <f t="shared" si="15"/>
        <v>4517.203889653405</v>
      </c>
      <c r="AW41" s="64">
        <f t="shared" si="7"/>
        <v>0.07631113730316366</v>
      </c>
      <c r="AX41" s="52"/>
      <c r="AY41" s="52"/>
      <c r="BB41" s="52"/>
      <c r="BC41" s="52"/>
    </row>
    <row r="42" spans="26:55" ht="12.75">
      <c r="Z42" s="76"/>
      <c r="AA42" s="63">
        <f t="shared" si="8"/>
        <v>7763.1219942527805</v>
      </c>
      <c r="AB42" s="64">
        <f t="shared" si="0"/>
        <v>0.033057851239669415</v>
      </c>
      <c r="AD42" s="63">
        <f t="shared" si="9"/>
        <v>4515.439962068322</v>
      </c>
      <c r="AE42" s="64">
        <f t="shared" si="1"/>
        <v>0.04803450642093912</v>
      </c>
      <c r="AG42" s="63">
        <f t="shared" si="10"/>
        <v>4635.8674442811425</v>
      </c>
      <c r="AH42" s="64">
        <f t="shared" si="2"/>
        <v>0.04133025759323337</v>
      </c>
      <c r="AI42" s="63"/>
      <c r="AJ42" s="63">
        <f t="shared" si="11"/>
        <v>4925.929801269807</v>
      </c>
      <c r="AK42" s="64">
        <f t="shared" si="3"/>
        <v>0.03864643227448393</v>
      </c>
      <c r="AL42" s="63"/>
      <c r="AM42" s="63">
        <f t="shared" si="12"/>
        <v>5659.003185924188</v>
      </c>
      <c r="AN42" s="64">
        <f t="shared" si="4"/>
        <v>0.03621217072952135</v>
      </c>
      <c r="AP42" s="63">
        <f t="shared" si="13"/>
        <v>6319.350944591035</v>
      </c>
      <c r="AQ42" s="64">
        <f t="shared" si="5"/>
        <v>0.03500294462271639</v>
      </c>
      <c r="AR42" s="63"/>
      <c r="AS42" s="63">
        <f t="shared" si="14"/>
        <v>4355.24208632973</v>
      </c>
      <c r="AT42" s="64">
        <f t="shared" si="6"/>
        <v>0.0563221071187191</v>
      </c>
      <c r="AU42" s="63"/>
      <c r="AV42" s="63">
        <f t="shared" si="15"/>
        <v>4303.120831880018</v>
      </c>
      <c r="AW42" s="64">
        <f t="shared" si="7"/>
        <v>0.07654007071507314</v>
      </c>
      <c r="AX42" s="52"/>
      <c r="AY42" s="52"/>
      <c r="BB42" s="52"/>
      <c r="BC42" s="52"/>
    </row>
    <row r="43" spans="26:55" ht="12.75">
      <c r="Z43" s="76"/>
      <c r="AA43" s="63">
        <f t="shared" si="8"/>
        <v>5512.672454187288</v>
      </c>
      <c r="AB43" s="64">
        <f>+AB44/AB$18</f>
        <v>0.03636363636363636</v>
      </c>
      <c r="AD43" s="63">
        <f t="shared" si="9"/>
        <v>4260.887700639933</v>
      </c>
      <c r="AE43" s="64">
        <f>+AE44/AE$18</f>
        <v>0.048514851485148516</v>
      </c>
      <c r="AG43" s="63">
        <f t="shared" si="10"/>
        <v>4270.727877367202</v>
      </c>
      <c r="AH43" s="64">
        <f>+AH44/AH$18</f>
        <v>0.042156862745098035</v>
      </c>
      <c r="AI43" s="63"/>
      <c r="AJ43" s="63">
        <f t="shared" si="11"/>
        <v>4416.249611321889</v>
      </c>
      <c r="AK43" s="64">
        <f>+AK44/AK$18</f>
        <v>0.039805825242718446</v>
      </c>
      <c r="AL43" s="63"/>
      <c r="AM43" s="63">
        <f t="shared" si="12"/>
        <v>4750.1008715618045</v>
      </c>
      <c r="AN43" s="64">
        <f>+AN44/AN$18</f>
        <v>0.03805899143672693</v>
      </c>
      <c r="AP43" s="63">
        <f t="shared" si="13"/>
        <v>4993.375504630715</v>
      </c>
      <c r="AQ43" s="64">
        <f>+AQ44/AQ$18</f>
        <v>0.03741814780168382</v>
      </c>
      <c r="AR43" s="63"/>
      <c r="AS43" s="63">
        <f t="shared" si="14"/>
        <v>4147.34833873427</v>
      </c>
      <c r="AT43" s="64">
        <f>+AT44/AT$18</f>
        <v>0.05666003976143141</v>
      </c>
      <c r="AU43" s="63"/>
      <c r="AV43" s="63">
        <f t="shared" si="15"/>
        <v>4107.0061690642815</v>
      </c>
      <c r="AW43" s="64">
        <f>+AW44/AW$18</f>
        <v>0.07676969092721836</v>
      </c>
      <c r="AX43" s="52"/>
      <c r="AY43" s="52"/>
      <c r="BB43" s="52"/>
      <c r="BC43" s="52"/>
    </row>
    <row r="44" spans="26:55" ht="12.75">
      <c r="Z44" s="76"/>
      <c r="AA44" s="63">
        <f t="shared" si="8"/>
        <v>3968.658463511319</v>
      </c>
      <c r="AB44" s="70">
        <v>0.04</v>
      </c>
      <c r="AD44" s="63">
        <f t="shared" si="9"/>
        <v>4027.2426570997277</v>
      </c>
      <c r="AE44" s="70">
        <v>0.049</v>
      </c>
      <c r="AG44" s="63">
        <f t="shared" si="10"/>
        <v>3941.5278666726845</v>
      </c>
      <c r="AH44" s="70">
        <v>0.043</v>
      </c>
      <c r="AI44" s="63"/>
      <c r="AJ44" s="63">
        <f t="shared" si="11"/>
        <v>3967.765455307055</v>
      </c>
      <c r="AK44" s="70">
        <v>0.041</v>
      </c>
      <c r="AL44" s="63"/>
      <c r="AM44" s="63">
        <f t="shared" si="12"/>
        <v>4002.776769595233</v>
      </c>
      <c r="AN44" s="70">
        <v>0.04</v>
      </c>
      <c r="AP44" s="63">
        <f t="shared" si="13"/>
        <v>3972.0440986375525</v>
      </c>
      <c r="AQ44" s="70">
        <v>0.04</v>
      </c>
      <c r="AR44" s="63"/>
      <c r="AS44" s="63">
        <f t="shared" si="14"/>
        <v>3955.388822302297</v>
      </c>
      <c r="AT44" s="70">
        <v>0.057</v>
      </c>
      <c r="AU44" s="63"/>
      <c r="AV44" s="63">
        <f t="shared" si="15"/>
        <v>3926.696647122411</v>
      </c>
      <c r="AW44" s="70">
        <v>0.077</v>
      </c>
      <c r="AX44" s="52"/>
      <c r="AY44" s="52"/>
      <c r="BB44" s="52"/>
      <c r="BC44" s="52"/>
    </row>
    <row r="46" spans="26:55" ht="12.75">
      <c r="Z46" s="75" t="s">
        <v>20</v>
      </c>
      <c r="AD46" s="71">
        <f>+MAX(AD20:AD44)</f>
        <v>82948.47758980757</v>
      </c>
      <c r="AE46" s="72">
        <f>+MIN(AE20:AE44)</f>
        <v>0.03859074024376233</v>
      </c>
      <c r="AF46" s="72"/>
      <c r="AG46" s="71">
        <f>+MAX(AG20:AG44)</f>
        <v>231354.7971143188</v>
      </c>
      <c r="AH46" s="72">
        <f>+MIN(AH20:AH44)</f>
        <v>0.026734023981370317</v>
      </c>
      <c r="AI46" s="71"/>
      <c r="AJ46" s="71">
        <f>+MAX(AJ20:AJ44)</f>
        <v>552460.9223358129</v>
      </c>
      <c r="AK46" s="72">
        <f>+MIN(AK20:AK44)</f>
        <v>0.02016928318991987</v>
      </c>
      <c r="AL46" s="72"/>
      <c r="AM46" s="71">
        <f>+MAX(AM20:AM44)</f>
        <v>12628526.532629013</v>
      </c>
      <c r="AN46" s="72">
        <f>+MIN(AN20:AN44)</f>
        <v>0.012122572961195448</v>
      </c>
      <c r="AO46" s="72"/>
      <c r="AP46" s="71">
        <f>+MAX(AP20:AP44)</f>
        <v>2617727170.2179594</v>
      </c>
      <c r="AQ46" s="72">
        <f>+MIN(AQ20:AQ44)</f>
        <v>0.008064827197184994</v>
      </c>
      <c r="AR46" s="72"/>
      <c r="AS46" s="71">
        <f>+MAX(AS20:AS44)</f>
        <v>48931.775391834744</v>
      </c>
      <c r="AT46" s="72">
        <f>+MIN(AT20:AT44)</f>
        <v>0.04937684292427894</v>
      </c>
      <c r="AU46" s="71"/>
      <c r="AV46" s="71">
        <f>+MAX(AV20:AV44)</f>
        <v>116748.43247264609</v>
      </c>
      <c r="AW46" s="72">
        <f>+MIN(AW20:AW44)</f>
        <v>0.07165860224675855</v>
      </c>
      <c r="AX46" s="56"/>
      <c r="AY46" s="55"/>
      <c r="BC46" s="53"/>
    </row>
    <row r="47" spans="26:55" ht="12.75">
      <c r="Z47" s="75"/>
      <c r="AD47" s="65">
        <f>+AD46*1.55</f>
        <v>128570.14026420175</v>
      </c>
      <c r="AE47" s="37">
        <f>+(1/(-2*LOG(1/3.71*AE$17)))^2</f>
        <v>0.03786913533793549</v>
      </c>
      <c r="AG47" s="65">
        <f>+AG46*1.55</f>
        <v>358599.9355271941</v>
      </c>
      <c r="AH47" s="37">
        <f>+(1/(-2*LOG(1/3.71*AH$17)))^2</f>
        <v>0.026145085508627038</v>
      </c>
      <c r="AI47" s="65"/>
      <c r="AJ47" s="65">
        <f>+AJ46*1.55</f>
        <v>856314.4296205101</v>
      </c>
      <c r="AK47" s="37">
        <f>+(1/(-2*LOG(1/3.71*AK$17)))^2</f>
        <v>0.01962257144440472</v>
      </c>
      <c r="AM47" s="65">
        <f>+AM46*1.55</f>
        <v>19574216.125574972</v>
      </c>
      <c r="AN47" s="37">
        <f>+(1/(-2*LOG(1/3.71*AN$17)))^2</f>
        <v>0.01197365149564789</v>
      </c>
      <c r="AP47" s="65">
        <f>+AP46*1.55</f>
        <v>4057477113.837837</v>
      </c>
      <c r="AQ47" s="37">
        <f>+(1/(-2*LOG(1/3.71*AQ$17)))^2</f>
        <v>0.008059855518852254</v>
      </c>
      <c r="AS47" s="65">
        <f>+AS46*1.55</f>
        <v>75844.25185734386</v>
      </c>
      <c r="AT47" s="37">
        <f>+(1/(-2*LOG(1/3.71*AT$17)))^2</f>
        <v>0.04858723752400783</v>
      </c>
      <c r="AU47" s="65"/>
      <c r="AV47" s="65">
        <f>+AV46*1.55</f>
        <v>180960.07033260143</v>
      </c>
      <c r="AW47" s="37">
        <f>+(1/(-2*LOG(1/3.71*AW$17)))^2</f>
        <v>0.07146101945021723</v>
      </c>
      <c r="AY47" s="53"/>
      <c r="BC47" s="53"/>
    </row>
    <row r="48" spans="26:55" ht="12.75">
      <c r="Z48" s="75"/>
      <c r="AD48" s="73">
        <v>100000000</v>
      </c>
      <c r="AE48" s="37">
        <f>+AE47</f>
        <v>0.03786913533793549</v>
      </c>
      <c r="AG48" s="73">
        <v>100000000</v>
      </c>
      <c r="AH48" s="37">
        <f>+AH47</f>
        <v>0.026145085508627038</v>
      </c>
      <c r="AI48" s="73"/>
      <c r="AJ48" s="73">
        <v>100000000</v>
      </c>
      <c r="AK48" s="37">
        <f>+AK47</f>
        <v>0.01962257144440472</v>
      </c>
      <c r="AM48" s="73">
        <v>100000000</v>
      </c>
      <c r="AN48" s="37">
        <f>+AN47</f>
        <v>0.01197365149564789</v>
      </c>
      <c r="AP48" s="73">
        <v>100000000</v>
      </c>
      <c r="AQ48" s="37">
        <f>+AQ47</f>
        <v>0.008059855518852254</v>
      </c>
      <c r="AS48" s="73">
        <v>100000000</v>
      </c>
      <c r="AT48" s="37">
        <f>+AT47</f>
        <v>0.04858723752400783</v>
      </c>
      <c r="AU48" s="73"/>
      <c r="AV48" s="73">
        <v>100000000</v>
      </c>
      <c r="AW48" s="37">
        <f>+AW47</f>
        <v>0.07146101945021723</v>
      </c>
      <c r="AY48" s="57"/>
      <c r="BC48" s="57"/>
    </row>
    <row r="49" ht="12.75">
      <c r="Z49" s="75"/>
    </row>
    <row r="50" ht="12.75">
      <c r="Z50" s="75"/>
    </row>
  </sheetData>
  <mergeCells count="3">
    <mergeCell ref="Z46:Z50"/>
    <mergeCell ref="Z16:Z44"/>
    <mergeCell ref="Z8:Z14"/>
  </mergeCells>
  <hyperlinks>
    <hyperlink ref="F6" r:id="rId1" display="http://www.diiar.polimi.it/fballio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4968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2:EK35"/>
  <sheetViews>
    <sheetView workbookViewId="0" topLeftCell="A1">
      <selection activeCell="D15" sqref="D15"/>
    </sheetView>
  </sheetViews>
  <sheetFormatPr defaultColWidth="9.140625" defaultRowHeight="12.75"/>
  <cols>
    <col min="1" max="1" width="2.7109375" style="7" customWidth="1"/>
    <col min="6" max="6" width="2.7109375" style="0" customWidth="1"/>
    <col min="10" max="10" width="2.7109375" style="0" customWidth="1"/>
    <col min="20" max="20" width="9.57421875" style="0" bestFit="1" customWidth="1"/>
  </cols>
  <sheetData>
    <row r="1" s="7" customFormat="1" ht="12.75"/>
    <row r="2" spans="1:141" s="8" customFormat="1" ht="12.75">
      <c r="A2" s="7"/>
      <c r="B2" s="9" t="s">
        <v>35</v>
      </c>
      <c r="F2" s="7"/>
      <c r="G2" s="9" t="s">
        <v>36</v>
      </c>
      <c r="J2" s="7"/>
      <c r="K2" s="30" t="s">
        <v>66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</row>
    <row r="3" spans="6:141" ht="12.75">
      <c r="F3" s="7"/>
      <c r="J3" s="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</row>
    <row r="4" spans="2:141" ht="14.25">
      <c r="B4" t="s">
        <v>42</v>
      </c>
      <c r="C4" s="23" t="s">
        <v>31</v>
      </c>
      <c r="D4" s="18">
        <v>1000</v>
      </c>
      <c r="E4" t="s">
        <v>9</v>
      </c>
      <c r="F4" s="7"/>
      <c r="J4" s="7"/>
      <c r="K4" s="78" t="s">
        <v>39</v>
      </c>
      <c r="L4" s="78"/>
      <c r="M4" s="25"/>
      <c r="N4" s="78" t="s">
        <v>40</v>
      </c>
      <c r="O4" s="78"/>
      <c r="P4" s="25"/>
      <c r="Q4" s="25" t="s">
        <v>41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3:141" ht="14.25">
      <c r="C5" s="23" t="s">
        <v>32</v>
      </c>
      <c r="D5" s="18">
        <v>0.001</v>
      </c>
      <c r="E5" t="s">
        <v>33</v>
      </c>
      <c r="F5" s="7"/>
      <c r="J5" s="7"/>
      <c r="K5" s="26">
        <f>+H11</f>
        <v>89171.97452229299</v>
      </c>
      <c r="L5" s="25">
        <f>+C17</f>
        <v>0.018917779928472184</v>
      </c>
      <c r="M5" s="25"/>
      <c r="N5" s="25">
        <v>100</v>
      </c>
      <c r="O5" s="25">
        <f>+C17</f>
        <v>0.018917779928472184</v>
      </c>
      <c r="P5" s="25"/>
      <c r="Q5" s="25" t="s">
        <v>12</v>
      </c>
      <c r="R5" s="27">
        <f aca="true" t="shared" si="0" ref="R5:AW5">2.51/(SQRT(R7)*(10^(-0.5/SQRT(R7))-1/3.71*$H$7))</f>
        <v>-1218038.1556923087</v>
      </c>
      <c r="S5" s="27">
        <f t="shared" si="0"/>
        <v>-1195473.3369252584</v>
      </c>
      <c r="T5" s="27">
        <f t="shared" si="0"/>
        <v>-1175998.9992187328</v>
      </c>
      <c r="U5" s="27">
        <f t="shared" si="0"/>
        <v>-1160455.8248576066</v>
      </c>
      <c r="V5" s="27">
        <f t="shared" si="0"/>
        <v>-1150016.4689693348</v>
      </c>
      <c r="W5" s="27">
        <f t="shared" si="0"/>
        <v>-1146353.6136154335</v>
      </c>
      <c r="X5" s="27">
        <f t="shared" si="0"/>
        <v>-1151930.7081058682</v>
      </c>
      <c r="Y5" s="27">
        <f t="shared" si="0"/>
        <v>-1170536.7692617313</v>
      </c>
      <c r="Z5" s="27">
        <f t="shared" si="0"/>
        <v>-1208344.3742358917</v>
      </c>
      <c r="AA5" s="27">
        <f t="shared" si="0"/>
        <v>-1276202.500401502</v>
      </c>
      <c r="AB5" s="27">
        <f t="shared" si="0"/>
        <v>-1395243.3561691628</v>
      </c>
      <c r="AC5" s="27">
        <f t="shared" si="0"/>
        <v>-1613142.10744232</v>
      </c>
      <c r="AD5" s="27">
        <f t="shared" si="0"/>
        <v>-2065526.7663730872</v>
      </c>
      <c r="AE5" s="27">
        <f t="shared" si="0"/>
        <v>-3354606.621429661</v>
      </c>
      <c r="AF5" s="27">
        <f t="shared" si="0"/>
        <v>-20981921.49007913</v>
      </c>
      <c r="AG5" s="27">
        <f t="shared" si="0"/>
        <v>3512465.5973987794</v>
      </c>
      <c r="AH5" s="27">
        <f t="shared" si="0"/>
        <v>1387754.308467597</v>
      </c>
      <c r="AI5" s="27">
        <f t="shared" si="0"/>
        <v>777318.4284214751</v>
      </c>
      <c r="AJ5" s="27">
        <f t="shared" si="0"/>
        <v>496379.06413510034</v>
      </c>
      <c r="AK5" s="27">
        <f t="shared" si="0"/>
        <v>339679.01307680015</v>
      </c>
      <c r="AL5" s="27">
        <f t="shared" si="0"/>
        <v>242627.6450387366</v>
      </c>
      <c r="AM5" s="27">
        <f t="shared" si="0"/>
        <v>178457.76733760568</v>
      </c>
      <c r="AN5" s="27">
        <f t="shared" si="0"/>
        <v>134102.99264406512</v>
      </c>
      <c r="AO5" s="27">
        <f t="shared" si="0"/>
        <v>102449.00596345088</v>
      </c>
      <c r="AP5" s="27">
        <f t="shared" si="0"/>
        <v>79308.97951000826</v>
      </c>
      <c r="AQ5" s="27">
        <f t="shared" si="0"/>
        <v>62072.315878038</v>
      </c>
      <c r="AR5" s="27">
        <f t="shared" si="0"/>
        <v>49037.54279157598</v>
      </c>
      <c r="AS5" s="27">
        <f t="shared" si="0"/>
        <v>39056.54596223388</v>
      </c>
      <c r="AT5" s="27">
        <f t="shared" si="0"/>
        <v>31332.819458449376</v>
      </c>
      <c r="AU5" s="27">
        <f t="shared" si="0"/>
        <v>25301.199286084564</v>
      </c>
      <c r="AV5" s="27">
        <f t="shared" si="0"/>
        <v>20553.15445347858</v>
      </c>
      <c r="AW5" s="27">
        <f t="shared" si="0"/>
        <v>16788.75445325611</v>
      </c>
      <c r="AX5" s="27">
        <f aca="true" t="shared" si="1" ref="AX5:BX5">2.51/(SQRT(AX7)*(10^(-0.5/SQRT(AX7))-1/3.71*$H$7))</f>
        <v>13784.880981592123</v>
      </c>
      <c r="AY5" s="27">
        <f t="shared" si="1"/>
        <v>11373.667865571426</v>
      </c>
      <c r="AZ5" s="27">
        <f t="shared" si="1"/>
        <v>9427.569122633106</v>
      </c>
      <c r="BA5" s="27">
        <f t="shared" si="1"/>
        <v>7848.830269171534</v>
      </c>
      <c r="BB5" s="27">
        <f t="shared" si="1"/>
        <v>6561.948535782121</v>
      </c>
      <c r="BC5" s="27">
        <f t="shared" si="1"/>
        <v>5508.200337235515</v>
      </c>
      <c r="BD5" s="27">
        <f t="shared" si="1"/>
        <v>4641.622149091637</v>
      </c>
      <c r="BE5" s="27">
        <f t="shared" si="1"/>
        <v>3926.0279961399606</v>
      </c>
      <c r="BF5" s="27">
        <f t="shared" si="1"/>
        <v>3332.7756926799566</v>
      </c>
      <c r="BG5" s="27">
        <f t="shared" si="1"/>
        <v>2839.0800008439955</v>
      </c>
      <c r="BH5" s="27">
        <f t="shared" si="1"/>
        <v>2426.7292813013014</v>
      </c>
      <c r="BI5" s="27">
        <f t="shared" si="1"/>
        <v>2081.1024921371213</v>
      </c>
      <c r="BJ5" s="27">
        <f t="shared" si="1"/>
        <v>1790.4115639788492</v>
      </c>
      <c r="BK5" s="27">
        <f t="shared" si="1"/>
        <v>1545.114132084858</v>
      </c>
      <c r="BL5" s="27">
        <f t="shared" si="1"/>
        <v>1337.4558980504105</v>
      </c>
      <c r="BM5" s="27">
        <f t="shared" si="1"/>
        <v>1161.1122359450442</v>
      </c>
      <c r="BN5" s="27">
        <f t="shared" si="1"/>
        <v>1010.906211024447</v>
      </c>
      <c r="BO5" s="27">
        <f t="shared" si="1"/>
        <v>882.5857420917243</v>
      </c>
      <c r="BP5" s="27">
        <f t="shared" si="1"/>
        <v>772.646767026554</v>
      </c>
      <c r="BQ5" s="27">
        <f t="shared" si="1"/>
        <v>678.1923563686107</v>
      </c>
      <c r="BR5" s="27">
        <f t="shared" si="1"/>
        <v>596.8200405626469</v>
      </c>
      <c r="BS5" s="27">
        <f t="shared" si="1"/>
        <v>526.5313724678945</v>
      </c>
      <c r="BT5" s="27">
        <f t="shared" si="1"/>
        <v>465.659082790159</v>
      </c>
      <c r="BU5" s="27">
        <f t="shared" si="1"/>
        <v>412.8082078968516</v>
      </c>
      <c r="BV5" s="27">
        <f t="shared" si="1"/>
        <v>366.8083547284769</v>
      </c>
      <c r="BW5" s="27">
        <f t="shared" si="1"/>
        <v>326.6748737417156</v>
      </c>
      <c r="BX5" s="27">
        <f t="shared" si="1"/>
        <v>291.5771808472677</v>
      </c>
      <c r="BY5" s="25"/>
      <c r="BZ5" s="25"/>
      <c r="CA5" s="25"/>
      <c r="CB5" s="25"/>
      <c r="CC5" s="25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</row>
    <row r="6" spans="3:141" ht="14.25">
      <c r="C6" s="2"/>
      <c r="D6" s="19"/>
      <c r="F6" s="7"/>
      <c r="G6" t="s">
        <v>2</v>
      </c>
      <c r="H6" s="34">
        <f>+D7^2*3.14/4</f>
        <v>0.785</v>
      </c>
      <c r="I6" t="s">
        <v>16</v>
      </c>
      <c r="J6" s="7"/>
      <c r="K6" s="25"/>
      <c r="L6" s="25"/>
      <c r="M6" s="25"/>
      <c r="N6" s="26">
        <f>+H11</f>
        <v>89171.97452229299</v>
      </c>
      <c r="O6" s="25">
        <f>+O5</f>
        <v>0.018917779928472184</v>
      </c>
      <c r="P6" s="25"/>
      <c r="Q6" s="25" t="s">
        <v>27</v>
      </c>
      <c r="R6" s="27" t="e">
        <f>IF(R5&gt;4000,R5,#N/A)</f>
        <v>#N/A</v>
      </c>
      <c r="S6" s="27" t="e">
        <f aca="true" t="shared" si="2" ref="S6:BX6">IF(S5&gt;4000,S5,#N/A)</f>
        <v>#N/A</v>
      </c>
      <c r="T6" s="27" t="e">
        <f t="shared" si="2"/>
        <v>#N/A</v>
      </c>
      <c r="U6" s="27" t="e">
        <f t="shared" si="2"/>
        <v>#N/A</v>
      </c>
      <c r="V6" s="27" t="e">
        <f t="shared" si="2"/>
        <v>#N/A</v>
      </c>
      <c r="W6" s="27" t="e">
        <f t="shared" si="2"/>
        <v>#N/A</v>
      </c>
      <c r="X6" s="27" t="e">
        <f t="shared" si="2"/>
        <v>#N/A</v>
      </c>
      <c r="Y6" s="27" t="e">
        <f t="shared" si="2"/>
        <v>#N/A</v>
      </c>
      <c r="Z6" s="27" t="e">
        <f t="shared" si="2"/>
        <v>#N/A</v>
      </c>
      <c r="AA6" s="27" t="e">
        <f t="shared" si="2"/>
        <v>#N/A</v>
      </c>
      <c r="AB6" s="27" t="e">
        <f t="shared" si="2"/>
        <v>#N/A</v>
      </c>
      <c r="AC6" s="27" t="e">
        <f t="shared" si="2"/>
        <v>#N/A</v>
      </c>
      <c r="AD6" s="27" t="e">
        <f t="shared" si="2"/>
        <v>#N/A</v>
      </c>
      <c r="AE6" s="27" t="e">
        <f t="shared" si="2"/>
        <v>#N/A</v>
      </c>
      <c r="AF6" s="27" t="e">
        <f t="shared" si="2"/>
        <v>#N/A</v>
      </c>
      <c r="AG6" s="27">
        <f t="shared" si="2"/>
        <v>3512465.5973987794</v>
      </c>
      <c r="AH6" s="27">
        <f t="shared" si="2"/>
        <v>1387754.308467597</v>
      </c>
      <c r="AI6" s="27">
        <f t="shared" si="2"/>
        <v>777318.4284214751</v>
      </c>
      <c r="AJ6" s="27">
        <f t="shared" si="2"/>
        <v>496379.06413510034</v>
      </c>
      <c r="AK6" s="27">
        <f t="shared" si="2"/>
        <v>339679.01307680015</v>
      </c>
      <c r="AL6" s="27">
        <f t="shared" si="2"/>
        <v>242627.6450387366</v>
      </c>
      <c r="AM6" s="27">
        <f t="shared" si="2"/>
        <v>178457.76733760568</v>
      </c>
      <c r="AN6" s="27">
        <f t="shared" si="2"/>
        <v>134102.99264406512</v>
      </c>
      <c r="AO6" s="27">
        <f t="shared" si="2"/>
        <v>102449.00596345088</v>
      </c>
      <c r="AP6" s="27">
        <f t="shared" si="2"/>
        <v>79308.97951000826</v>
      </c>
      <c r="AQ6" s="27">
        <f t="shared" si="2"/>
        <v>62072.315878038</v>
      </c>
      <c r="AR6" s="27">
        <f t="shared" si="2"/>
        <v>49037.54279157598</v>
      </c>
      <c r="AS6" s="27">
        <f t="shared" si="2"/>
        <v>39056.54596223388</v>
      </c>
      <c r="AT6" s="27">
        <f t="shared" si="2"/>
        <v>31332.819458449376</v>
      </c>
      <c r="AU6" s="27">
        <f t="shared" si="2"/>
        <v>25301.199286084564</v>
      </c>
      <c r="AV6" s="27">
        <f t="shared" si="2"/>
        <v>20553.15445347858</v>
      </c>
      <c r="AW6" s="27">
        <f t="shared" si="2"/>
        <v>16788.75445325611</v>
      </c>
      <c r="AX6" s="27">
        <f t="shared" si="2"/>
        <v>13784.880981592123</v>
      </c>
      <c r="AY6" s="27">
        <f t="shared" si="2"/>
        <v>11373.667865571426</v>
      </c>
      <c r="AZ6" s="27">
        <f t="shared" si="2"/>
        <v>9427.569122633106</v>
      </c>
      <c r="BA6" s="27">
        <f t="shared" si="2"/>
        <v>7848.830269171534</v>
      </c>
      <c r="BB6" s="27">
        <f t="shared" si="2"/>
        <v>6561.948535782121</v>
      </c>
      <c r="BC6" s="27">
        <f t="shared" si="2"/>
        <v>5508.200337235515</v>
      </c>
      <c r="BD6" s="27">
        <f t="shared" si="2"/>
        <v>4641.622149091637</v>
      </c>
      <c r="BE6" s="27" t="e">
        <f t="shared" si="2"/>
        <v>#N/A</v>
      </c>
      <c r="BF6" s="27" t="e">
        <f t="shared" si="2"/>
        <v>#N/A</v>
      </c>
      <c r="BG6" s="27" t="e">
        <f t="shared" si="2"/>
        <v>#N/A</v>
      </c>
      <c r="BH6" s="27" t="e">
        <f t="shared" si="2"/>
        <v>#N/A</v>
      </c>
      <c r="BI6" s="27" t="e">
        <f t="shared" si="2"/>
        <v>#N/A</v>
      </c>
      <c r="BJ6" s="27" t="e">
        <f t="shared" si="2"/>
        <v>#N/A</v>
      </c>
      <c r="BK6" s="27" t="e">
        <f t="shared" si="2"/>
        <v>#N/A</v>
      </c>
      <c r="BL6" s="27" t="e">
        <f t="shared" si="2"/>
        <v>#N/A</v>
      </c>
      <c r="BM6" s="27" t="e">
        <f t="shared" si="2"/>
        <v>#N/A</v>
      </c>
      <c r="BN6" s="27" t="e">
        <f t="shared" si="2"/>
        <v>#N/A</v>
      </c>
      <c r="BO6" s="27" t="e">
        <f t="shared" si="2"/>
        <v>#N/A</v>
      </c>
      <c r="BP6" s="27" t="e">
        <f t="shared" si="2"/>
        <v>#N/A</v>
      </c>
      <c r="BQ6" s="27" t="e">
        <f t="shared" si="2"/>
        <v>#N/A</v>
      </c>
      <c r="BR6" s="27" t="e">
        <f t="shared" si="2"/>
        <v>#N/A</v>
      </c>
      <c r="BS6" s="27" t="e">
        <f t="shared" si="2"/>
        <v>#N/A</v>
      </c>
      <c r="BT6" s="27" t="e">
        <f t="shared" si="2"/>
        <v>#N/A</v>
      </c>
      <c r="BU6" s="27" t="e">
        <f t="shared" si="2"/>
        <v>#N/A</v>
      </c>
      <c r="BV6" s="27" t="e">
        <f t="shared" si="2"/>
        <v>#N/A</v>
      </c>
      <c r="BW6" s="27" t="e">
        <f t="shared" si="2"/>
        <v>#N/A</v>
      </c>
      <c r="BX6" s="27" t="e">
        <f t="shared" si="2"/>
        <v>#N/A</v>
      </c>
      <c r="BY6" s="25"/>
      <c r="BZ6" s="25"/>
      <c r="CA6" s="25"/>
      <c r="CB6" s="25"/>
      <c r="CC6" s="25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2:141" ht="12.75">
      <c r="B7" t="s">
        <v>43</v>
      </c>
      <c r="C7" s="2" t="s">
        <v>0</v>
      </c>
      <c r="D7" s="18">
        <v>1</v>
      </c>
      <c r="E7" t="s">
        <v>15</v>
      </c>
      <c r="F7" s="7"/>
      <c r="G7" s="5" t="s">
        <v>10</v>
      </c>
      <c r="H7" s="34">
        <f>+D8/D7</f>
        <v>0.0001</v>
      </c>
      <c r="I7" s="10" t="s">
        <v>21</v>
      </c>
      <c r="J7" s="7"/>
      <c r="K7" s="26">
        <f>+IF($D$18="ok",1,K5)</f>
        <v>1</v>
      </c>
      <c r="L7" s="26">
        <f>+IF($D$18="ok",1,L5)</f>
        <v>1</v>
      </c>
      <c r="M7" s="25"/>
      <c r="N7" s="25"/>
      <c r="O7" s="25"/>
      <c r="P7" s="25"/>
      <c r="Q7" s="25" t="s">
        <v>26</v>
      </c>
      <c r="R7" s="25">
        <v>0.006</v>
      </c>
      <c r="S7" s="25">
        <f>+R7*1.05</f>
        <v>0.0063</v>
      </c>
      <c r="T7" s="25">
        <f aca="true" t="shared" si="3" ref="T7:BX7">+S7*1.05</f>
        <v>0.006615</v>
      </c>
      <c r="U7" s="25">
        <f t="shared" si="3"/>
        <v>0.0069457500000000005</v>
      </c>
      <c r="V7" s="25">
        <f t="shared" si="3"/>
        <v>0.007293037500000001</v>
      </c>
      <c r="W7" s="25">
        <f t="shared" si="3"/>
        <v>0.007657689375000001</v>
      </c>
      <c r="X7" s="25">
        <f t="shared" si="3"/>
        <v>0.008040573843750001</v>
      </c>
      <c r="Y7" s="25">
        <f t="shared" si="3"/>
        <v>0.008442602535937501</v>
      </c>
      <c r="Z7" s="25">
        <f t="shared" si="3"/>
        <v>0.008864732662734376</v>
      </c>
      <c r="AA7" s="25">
        <f t="shared" si="3"/>
        <v>0.009307969295871096</v>
      </c>
      <c r="AB7" s="25">
        <f t="shared" si="3"/>
        <v>0.009773367760664651</v>
      </c>
      <c r="AC7" s="25">
        <f t="shared" si="3"/>
        <v>0.010262036148697884</v>
      </c>
      <c r="AD7" s="25">
        <f t="shared" si="3"/>
        <v>0.01077513795613278</v>
      </c>
      <c r="AE7" s="25">
        <f t="shared" si="3"/>
        <v>0.011313894853939419</v>
      </c>
      <c r="AF7" s="25">
        <f t="shared" si="3"/>
        <v>0.01187958959663639</v>
      </c>
      <c r="AG7" s="25">
        <f t="shared" si="3"/>
        <v>0.01247356907646821</v>
      </c>
      <c r="AH7" s="25">
        <f t="shared" si="3"/>
        <v>0.013097247530291622</v>
      </c>
      <c r="AI7" s="25">
        <f t="shared" si="3"/>
        <v>0.013752109906806205</v>
      </c>
      <c r="AJ7" s="25">
        <f t="shared" si="3"/>
        <v>0.014439715402146516</v>
      </c>
      <c r="AK7" s="25">
        <f t="shared" si="3"/>
        <v>0.015161701172253843</v>
      </c>
      <c r="AL7" s="25">
        <f t="shared" si="3"/>
        <v>0.015919786230866536</v>
      </c>
      <c r="AM7" s="25">
        <f t="shared" si="3"/>
        <v>0.016715775542409862</v>
      </c>
      <c r="AN7" s="25">
        <f t="shared" si="3"/>
        <v>0.017551564319530356</v>
      </c>
      <c r="AO7" s="25">
        <f t="shared" si="3"/>
        <v>0.018429142535506874</v>
      </c>
      <c r="AP7" s="25">
        <f t="shared" si="3"/>
        <v>0.019350599662282218</v>
      </c>
      <c r="AQ7" s="25">
        <f t="shared" si="3"/>
        <v>0.02031812964539633</v>
      </c>
      <c r="AR7" s="25">
        <f t="shared" si="3"/>
        <v>0.02133403612766615</v>
      </c>
      <c r="AS7" s="25">
        <f t="shared" si="3"/>
        <v>0.022400737934049456</v>
      </c>
      <c r="AT7" s="25">
        <f t="shared" si="3"/>
        <v>0.02352077483075193</v>
      </c>
      <c r="AU7" s="25">
        <f t="shared" si="3"/>
        <v>0.024696813572289526</v>
      </c>
      <c r="AV7" s="25">
        <f t="shared" si="3"/>
        <v>0.025931654250904004</v>
      </c>
      <c r="AW7" s="25">
        <f t="shared" si="3"/>
        <v>0.027228236963449205</v>
      </c>
      <c r="AX7" s="25">
        <f t="shared" si="3"/>
        <v>0.028589648811621668</v>
      </c>
      <c r="AY7" s="25">
        <f t="shared" si="3"/>
        <v>0.030019131252202753</v>
      </c>
      <c r="AZ7" s="25">
        <f t="shared" si="3"/>
        <v>0.03152008781481289</v>
      </c>
      <c r="BA7" s="25">
        <f t="shared" si="3"/>
        <v>0.03309609220555354</v>
      </c>
      <c r="BB7" s="25">
        <f t="shared" si="3"/>
        <v>0.03475089681583122</v>
      </c>
      <c r="BC7" s="25">
        <f t="shared" si="3"/>
        <v>0.03648844165662278</v>
      </c>
      <c r="BD7" s="25">
        <f t="shared" si="3"/>
        <v>0.038312863739453924</v>
      </c>
      <c r="BE7" s="25">
        <f t="shared" si="3"/>
        <v>0.04022850692642662</v>
      </c>
      <c r="BF7" s="25">
        <f t="shared" si="3"/>
        <v>0.04223993227274795</v>
      </c>
      <c r="BG7" s="25">
        <f t="shared" si="3"/>
        <v>0.04435192888638535</v>
      </c>
      <c r="BH7" s="25">
        <f t="shared" si="3"/>
        <v>0.046569525330704624</v>
      </c>
      <c r="BI7" s="25">
        <f t="shared" si="3"/>
        <v>0.04889800159723986</v>
      </c>
      <c r="BJ7" s="25">
        <f t="shared" si="3"/>
        <v>0.05134290167710185</v>
      </c>
      <c r="BK7" s="25">
        <f t="shared" si="3"/>
        <v>0.053910046760956946</v>
      </c>
      <c r="BL7" s="25">
        <f t="shared" si="3"/>
        <v>0.056605549099004795</v>
      </c>
      <c r="BM7" s="25">
        <f t="shared" si="3"/>
        <v>0.05943582655395504</v>
      </c>
      <c r="BN7" s="25">
        <f t="shared" si="3"/>
        <v>0.06240761788165279</v>
      </c>
      <c r="BO7" s="25">
        <f t="shared" si="3"/>
        <v>0.06552799877573544</v>
      </c>
      <c r="BP7" s="25">
        <f t="shared" si="3"/>
        <v>0.06880439871452221</v>
      </c>
      <c r="BQ7" s="25">
        <f t="shared" si="3"/>
        <v>0.07224461865024832</v>
      </c>
      <c r="BR7" s="25">
        <f t="shared" si="3"/>
        <v>0.07585684958276075</v>
      </c>
      <c r="BS7" s="25">
        <f t="shared" si="3"/>
        <v>0.07964969206189879</v>
      </c>
      <c r="BT7" s="25">
        <f t="shared" si="3"/>
        <v>0.08363217666499373</v>
      </c>
      <c r="BU7" s="25">
        <f t="shared" si="3"/>
        <v>0.08781378549824342</v>
      </c>
      <c r="BV7" s="25">
        <f t="shared" si="3"/>
        <v>0.0922044747731556</v>
      </c>
      <c r="BW7" s="25">
        <f t="shared" si="3"/>
        <v>0.09681469851181339</v>
      </c>
      <c r="BX7" s="25">
        <f t="shared" si="3"/>
        <v>0.10165543343740406</v>
      </c>
      <c r="BY7" s="25"/>
      <c r="BZ7" s="25"/>
      <c r="CA7" s="25"/>
      <c r="CB7" s="25"/>
      <c r="CC7" s="25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3:141" ht="15.75">
      <c r="C8" s="23" t="s">
        <v>30</v>
      </c>
      <c r="D8" s="18">
        <v>0.0001</v>
      </c>
      <c r="E8" t="s">
        <v>14</v>
      </c>
      <c r="F8" s="7"/>
      <c r="H8" s="32" t="str">
        <f>+IF(H7&gt;0.1,"!! scabrezza troppo elevata !!","ok")</f>
        <v>ok</v>
      </c>
      <c r="J8" s="7"/>
      <c r="K8" s="25"/>
      <c r="L8" s="28"/>
      <c r="M8" s="25"/>
      <c r="N8" s="26">
        <f>+H11</f>
        <v>89171.97452229299</v>
      </c>
      <c r="O8" s="25">
        <f>+C17</f>
        <v>0.018917779928472184</v>
      </c>
      <c r="P8" s="26"/>
      <c r="Q8" s="25" t="s">
        <v>28</v>
      </c>
      <c r="R8" s="25">
        <f>IF(R5&gt;4000,R7,99)</f>
        <v>99</v>
      </c>
      <c r="S8" s="25">
        <f aca="true" t="shared" si="4" ref="S8:BX8">IF(S5&gt;4000,S7,99)</f>
        <v>99</v>
      </c>
      <c r="T8" s="25">
        <f t="shared" si="4"/>
        <v>99</v>
      </c>
      <c r="U8" s="25">
        <f t="shared" si="4"/>
        <v>99</v>
      </c>
      <c r="V8" s="25">
        <f t="shared" si="4"/>
        <v>99</v>
      </c>
      <c r="W8" s="25">
        <f t="shared" si="4"/>
        <v>99</v>
      </c>
      <c r="X8" s="25">
        <f t="shared" si="4"/>
        <v>99</v>
      </c>
      <c r="Y8" s="25">
        <f t="shared" si="4"/>
        <v>99</v>
      </c>
      <c r="Z8" s="25">
        <f t="shared" si="4"/>
        <v>99</v>
      </c>
      <c r="AA8" s="25">
        <f t="shared" si="4"/>
        <v>99</v>
      </c>
      <c r="AB8" s="25">
        <f t="shared" si="4"/>
        <v>99</v>
      </c>
      <c r="AC8" s="25">
        <f t="shared" si="4"/>
        <v>99</v>
      </c>
      <c r="AD8" s="25">
        <f t="shared" si="4"/>
        <v>99</v>
      </c>
      <c r="AE8" s="25">
        <f t="shared" si="4"/>
        <v>99</v>
      </c>
      <c r="AF8" s="25">
        <f t="shared" si="4"/>
        <v>99</v>
      </c>
      <c r="AG8" s="25">
        <f t="shared" si="4"/>
        <v>0.01247356907646821</v>
      </c>
      <c r="AH8" s="25">
        <f t="shared" si="4"/>
        <v>0.013097247530291622</v>
      </c>
      <c r="AI8" s="25">
        <f t="shared" si="4"/>
        <v>0.013752109906806205</v>
      </c>
      <c r="AJ8" s="25">
        <f t="shared" si="4"/>
        <v>0.014439715402146516</v>
      </c>
      <c r="AK8" s="25">
        <f t="shared" si="4"/>
        <v>0.015161701172253843</v>
      </c>
      <c r="AL8" s="25">
        <f t="shared" si="4"/>
        <v>0.015919786230866536</v>
      </c>
      <c r="AM8" s="25">
        <f t="shared" si="4"/>
        <v>0.016715775542409862</v>
      </c>
      <c r="AN8" s="25">
        <f t="shared" si="4"/>
        <v>0.017551564319530356</v>
      </c>
      <c r="AO8" s="25">
        <f t="shared" si="4"/>
        <v>0.018429142535506874</v>
      </c>
      <c r="AP8" s="25">
        <f t="shared" si="4"/>
        <v>0.019350599662282218</v>
      </c>
      <c r="AQ8" s="25">
        <f t="shared" si="4"/>
        <v>0.02031812964539633</v>
      </c>
      <c r="AR8" s="25">
        <f t="shared" si="4"/>
        <v>0.02133403612766615</v>
      </c>
      <c r="AS8" s="25">
        <f t="shared" si="4"/>
        <v>0.022400737934049456</v>
      </c>
      <c r="AT8" s="25">
        <f t="shared" si="4"/>
        <v>0.02352077483075193</v>
      </c>
      <c r="AU8" s="25">
        <f t="shared" si="4"/>
        <v>0.024696813572289526</v>
      </c>
      <c r="AV8" s="25">
        <f t="shared" si="4"/>
        <v>0.025931654250904004</v>
      </c>
      <c r="AW8" s="25">
        <f t="shared" si="4"/>
        <v>0.027228236963449205</v>
      </c>
      <c r="AX8" s="25">
        <f t="shared" si="4"/>
        <v>0.028589648811621668</v>
      </c>
      <c r="AY8" s="25">
        <f t="shared" si="4"/>
        <v>0.030019131252202753</v>
      </c>
      <c r="AZ8" s="25">
        <f t="shared" si="4"/>
        <v>0.03152008781481289</v>
      </c>
      <c r="BA8" s="25">
        <f t="shared" si="4"/>
        <v>0.03309609220555354</v>
      </c>
      <c r="BB8" s="25">
        <f t="shared" si="4"/>
        <v>0.03475089681583122</v>
      </c>
      <c r="BC8" s="25">
        <f t="shared" si="4"/>
        <v>0.03648844165662278</v>
      </c>
      <c r="BD8" s="25">
        <f t="shared" si="4"/>
        <v>0.038312863739453924</v>
      </c>
      <c r="BE8" s="25">
        <f t="shared" si="4"/>
        <v>99</v>
      </c>
      <c r="BF8" s="25">
        <f t="shared" si="4"/>
        <v>99</v>
      </c>
      <c r="BG8" s="25">
        <f t="shared" si="4"/>
        <v>99</v>
      </c>
      <c r="BH8" s="25">
        <f t="shared" si="4"/>
        <v>99</v>
      </c>
      <c r="BI8" s="25">
        <f t="shared" si="4"/>
        <v>99</v>
      </c>
      <c r="BJ8" s="25">
        <f t="shared" si="4"/>
        <v>99</v>
      </c>
      <c r="BK8" s="25">
        <f t="shared" si="4"/>
        <v>99</v>
      </c>
      <c r="BL8" s="25">
        <f t="shared" si="4"/>
        <v>99</v>
      </c>
      <c r="BM8" s="25">
        <f t="shared" si="4"/>
        <v>99</v>
      </c>
      <c r="BN8" s="25">
        <f t="shared" si="4"/>
        <v>99</v>
      </c>
      <c r="BO8" s="25">
        <f t="shared" si="4"/>
        <v>99</v>
      </c>
      <c r="BP8" s="25">
        <f t="shared" si="4"/>
        <v>99</v>
      </c>
      <c r="BQ8" s="25">
        <f t="shared" si="4"/>
        <v>99</v>
      </c>
      <c r="BR8" s="25">
        <f t="shared" si="4"/>
        <v>99</v>
      </c>
      <c r="BS8" s="25">
        <f t="shared" si="4"/>
        <v>99</v>
      </c>
      <c r="BT8" s="25">
        <f t="shared" si="4"/>
        <v>99</v>
      </c>
      <c r="BU8" s="25">
        <f t="shared" si="4"/>
        <v>99</v>
      </c>
      <c r="BV8" s="25">
        <f t="shared" si="4"/>
        <v>99</v>
      </c>
      <c r="BW8" s="25">
        <f t="shared" si="4"/>
        <v>99</v>
      </c>
      <c r="BX8" s="25">
        <f t="shared" si="4"/>
        <v>99</v>
      </c>
      <c r="BY8" s="25"/>
      <c r="BZ8" s="25"/>
      <c r="CA8" s="25"/>
      <c r="CB8" s="25"/>
      <c r="CC8" s="25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3:141" ht="15.75">
      <c r="C9" s="2" t="s">
        <v>7</v>
      </c>
      <c r="D9" s="18">
        <v>300</v>
      </c>
      <c r="E9" t="s">
        <v>14</v>
      </c>
      <c r="F9" s="7"/>
      <c r="G9" t="s">
        <v>3</v>
      </c>
      <c r="H9" s="4">
        <f>+D11/H6</f>
        <v>0.089171974522293</v>
      </c>
      <c r="I9" t="s">
        <v>17</v>
      </c>
      <c r="J9" s="7"/>
      <c r="K9" s="25"/>
      <c r="L9" s="35"/>
      <c r="M9" s="25"/>
      <c r="N9" s="26">
        <f>+N8</f>
        <v>89171.97452229299</v>
      </c>
      <c r="O9" s="25">
        <v>1E-05</v>
      </c>
      <c r="P9" s="26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</row>
    <row r="10" spans="3:141" ht="15.75">
      <c r="C10" s="2"/>
      <c r="D10" s="19"/>
      <c r="F10" s="7"/>
      <c r="G10" t="s">
        <v>34</v>
      </c>
      <c r="H10" s="4">
        <f>+H9^2/19.61</f>
        <v>0.0004054890892506105</v>
      </c>
      <c r="I10" t="s">
        <v>14</v>
      </c>
      <c r="J10" s="7"/>
      <c r="K10" s="25"/>
      <c r="L10" s="35"/>
      <c r="M10" s="25"/>
      <c r="N10" s="25"/>
      <c r="O10" s="25"/>
      <c r="P10" s="26"/>
      <c r="Q10" s="25" t="s">
        <v>27</v>
      </c>
      <c r="R10" s="26">
        <f>+MAX(R5:BX5)</f>
        <v>3512465.5973987794</v>
      </c>
      <c r="S10" s="26">
        <f>+R10*5</f>
        <v>17562327.986993898</v>
      </c>
      <c r="T10" s="29">
        <v>100000000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</row>
    <row r="11" spans="2:141" ht="15.75">
      <c r="B11" t="s">
        <v>44</v>
      </c>
      <c r="C11" s="2" t="s">
        <v>1</v>
      </c>
      <c r="D11" s="31">
        <v>0.07</v>
      </c>
      <c r="E11" t="s">
        <v>13</v>
      </c>
      <c r="F11" s="7"/>
      <c r="G11" t="s">
        <v>4</v>
      </c>
      <c r="H11" s="6">
        <f>+D4*H9*D7/D5</f>
        <v>89171.97452229299</v>
      </c>
      <c r="I11" s="10" t="s">
        <v>21</v>
      </c>
      <c r="J11" s="7"/>
      <c r="K11" s="25"/>
      <c r="L11" s="35"/>
      <c r="M11" s="25"/>
      <c r="N11" s="25"/>
      <c r="O11" s="25"/>
      <c r="P11" s="26"/>
      <c r="Q11" s="25" t="s">
        <v>26</v>
      </c>
      <c r="R11" s="25">
        <f>+MIN(R8:BX8)</f>
        <v>0.01247356907646821</v>
      </c>
      <c r="S11" s="25">
        <f>IF(H7&gt;0,+(1/(-2*LOG(1/3.71*$H$7)))^2,R11)</f>
        <v>0.01197365149564789</v>
      </c>
      <c r="T11" s="25">
        <f>IF(H7&gt;0,+(1/(-2*LOG(1/3.71*$H$7)))^2,R11)</f>
        <v>0.01197365149564789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="7" customFormat="1" ht="12.75">
      <c r="M12" s="36"/>
    </row>
    <row r="13" spans="2:18" ht="12.75">
      <c r="B13" s="1" t="s">
        <v>37</v>
      </c>
      <c r="F13" s="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4:18" ht="12.75">
      <c r="D14" s="20"/>
      <c r="F14" s="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12.75">
      <c r="B15" s="49" t="s">
        <v>51</v>
      </c>
      <c r="C15" s="47">
        <f>IF(D8&gt;0,+(1/(-2*LOG(1/3.71*$H$7)))^2,"non esiste moto ass. turbolento")</f>
        <v>0.01197365149564789</v>
      </c>
      <c r="D15" t="s">
        <v>67</v>
      </c>
      <c r="F15" s="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2.75">
      <c r="B16" s="2"/>
      <c r="C16" s="16"/>
      <c r="D16" s="11" t="s">
        <v>45</v>
      </c>
      <c r="E16" s="13">
        <f>+(C17-C15)/C17</f>
        <v>0.3670688875269683</v>
      </c>
      <c r="F16" s="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8" ht="12.75">
      <c r="B17" s="23" t="s">
        <v>5</v>
      </c>
      <c r="C17" s="16">
        <v>0.018917779928472184</v>
      </c>
      <c r="D17" s="10"/>
      <c r="F17" s="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ht="12.75">
      <c r="B18" s="21"/>
      <c r="C18" s="8"/>
      <c r="D18" s="77" t="str">
        <f>+IF(H11&lt;4000,"laminar flow?",IF(ABS(C19)&gt;0.01,"&lt;--  press !!!","OK"))</f>
        <v>OK</v>
      </c>
      <c r="E18" s="77"/>
      <c r="F18" s="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ht="12.75">
      <c r="B19" s="21" t="s">
        <v>18</v>
      </c>
      <c r="C19" s="22">
        <f>(1/SQRT(C17)+2*LOG(2.51/SQRT(C17)/H11+1/3.71*H7))/C17</f>
        <v>4.205616727242016E-05</v>
      </c>
      <c r="D19" s="77"/>
      <c r="E19" s="77"/>
      <c r="F19" s="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2.75">
      <c r="B20" s="21"/>
      <c r="C20" s="8"/>
      <c r="D20" s="77"/>
      <c r="E20" s="77"/>
      <c r="F20" s="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2.75">
      <c r="B21" s="2" t="s">
        <v>6</v>
      </c>
      <c r="C21" s="33">
        <f>+C17*H9^2/(2*9.81*D7)</f>
        <v>7.667043591681745E-06</v>
      </c>
      <c r="D21" s="10" t="s">
        <v>21</v>
      </c>
      <c r="F21" s="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18" ht="12.75">
      <c r="B22" s="2" t="s">
        <v>22</v>
      </c>
      <c r="C22" s="4">
        <f>+C21*D9</f>
        <v>0.0023001130775045235</v>
      </c>
      <c r="D22" t="s">
        <v>15</v>
      </c>
      <c r="E22" s="3"/>
      <c r="F22" s="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2.75">
      <c r="B23" s="7"/>
      <c r="C23" s="7"/>
      <c r="D23" s="7"/>
      <c r="E23" s="7"/>
      <c r="F23" s="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2:18" ht="12.75">
      <c r="B24" s="15" t="s">
        <v>52</v>
      </c>
      <c r="C24" s="15"/>
      <c r="D24" s="15"/>
      <c r="E24" s="15"/>
      <c r="F24" s="1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ht="12.75">
      <c r="B25" s="15" t="s">
        <v>54</v>
      </c>
      <c r="C25" s="15"/>
      <c r="D25" s="15"/>
      <c r="E25" s="15"/>
      <c r="F25" s="1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2:18" ht="12.75">
      <c r="B26" s="15" t="s">
        <v>48</v>
      </c>
      <c r="C26" s="15"/>
      <c r="D26" s="15"/>
      <c r="E26" s="15"/>
      <c r="F26" s="1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2:18" ht="12.75">
      <c r="B27" s="15" t="s">
        <v>56</v>
      </c>
      <c r="C27" s="15"/>
      <c r="D27" s="15"/>
      <c r="E27" s="15"/>
      <c r="F27" s="1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18" ht="12.75">
      <c r="B28" s="15" t="s">
        <v>55</v>
      </c>
      <c r="C28" s="15"/>
      <c r="D28" s="15"/>
      <c r="E28" s="15"/>
      <c r="F28" s="15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18" ht="12.75">
      <c r="B29" s="15" t="s">
        <v>57</v>
      </c>
      <c r="C29" s="15"/>
      <c r="D29" s="15"/>
      <c r="E29" s="15"/>
      <c r="F29" s="1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8" ht="12.75">
      <c r="B30" s="15" t="s">
        <v>58</v>
      </c>
      <c r="C30" s="15"/>
      <c r="D30" s="15"/>
      <c r="E30" s="15"/>
      <c r="F30" s="1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18" ht="12.75">
      <c r="B31" s="15"/>
      <c r="C31" s="15"/>
      <c r="D31" s="15"/>
      <c r="E31" s="15"/>
      <c r="F31" s="1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12.75">
      <c r="B32" s="17"/>
      <c r="C32" s="15"/>
      <c r="D32" s="15"/>
      <c r="E32" s="15"/>
      <c r="F32" s="1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2:18" ht="12.75">
      <c r="B33" s="17"/>
      <c r="C33" s="15"/>
      <c r="D33" s="15"/>
      <c r="E33" s="15"/>
      <c r="F33" s="1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6" ht="12.75"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</sheetData>
  <mergeCells count="3">
    <mergeCell ref="D18:E20"/>
    <mergeCell ref="K4:L4"/>
    <mergeCell ref="N4:O4"/>
  </mergeCells>
  <conditionalFormatting sqref="C15">
    <cfRule type="cellIs" priority="1" dxfId="0" operator="equal" stopIfTrue="1">
      <formula>"non esiste moto ass. turbolento"</formula>
    </cfRule>
  </conditionalFormatting>
  <conditionalFormatting sqref="D18:E20">
    <cfRule type="cellIs" priority="2" dxfId="1" operator="notEqual" stopIfTrue="1">
      <formula>"OK"</formula>
    </cfRule>
  </conditionalFormatting>
  <conditionalFormatting sqref="H8">
    <cfRule type="cellIs" priority="3" dxfId="2" operator="equal" stopIfTrue="1">
      <formula>"ok"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2:EK43"/>
  <sheetViews>
    <sheetView workbookViewId="0" topLeftCell="A1">
      <selection activeCell="D23" sqref="D23"/>
    </sheetView>
  </sheetViews>
  <sheetFormatPr defaultColWidth="9.140625" defaultRowHeight="12.75"/>
  <cols>
    <col min="1" max="1" width="2.7109375" style="37" customWidth="1"/>
    <col min="5" max="5" width="10.140625" style="0" customWidth="1"/>
    <col min="6" max="6" width="2.7109375" style="37" customWidth="1"/>
    <col min="10" max="10" width="2.7109375" style="37" customWidth="1"/>
    <col min="11" max="19" width="9.140625" style="37" customWidth="1"/>
    <col min="20" max="20" width="9.57421875" style="37" bestFit="1" customWidth="1"/>
    <col min="21" max="76" width="9.140625" style="37" customWidth="1"/>
  </cols>
  <sheetData>
    <row r="1" s="37" customFormat="1" ht="12.75"/>
    <row r="2" spans="1:141" s="8" customFormat="1" ht="12.75">
      <c r="A2" s="37"/>
      <c r="B2" s="9" t="s">
        <v>35</v>
      </c>
      <c r="F2" s="37"/>
      <c r="G2" s="8" t="s">
        <v>64</v>
      </c>
      <c r="J2" s="37"/>
      <c r="K2" s="38" t="s">
        <v>23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24"/>
      <c r="BZ2" s="24"/>
      <c r="CA2" s="24"/>
      <c r="CB2" s="24"/>
      <c r="CC2" s="2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</row>
    <row r="3" spans="7:141" ht="12.75">
      <c r="G3" t="s">
        <v>65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25"/>
      <c r="BZ3" s="25"/>
      <c r="CA3" s="25"/>
      <c r="CB3" s="25"/>
      <c r="CC3" s="25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</row>
    <row r="4" spans="2:141" ht="14.25">
      <c r="B4" t="s">
        <v>42</v>
      </c>
      <c r="C4" s="23" t="s">
        <v>31</v>
      </c>
      <c r="D4" s="18">
        <v>1000</v>
      </c>
      <c r="E4" t="s">
        <v>9</v>
      </c>
      <c r="K4" s="79" t="s">
        <v>29</v>
      </c>
      <c r="L4" s="79"/>
      <c r="M4" s="39"/>
      <c r="N4" s="79" t="s">
        <v>24</v>
      </c>
      <c r="O4" s="79"/>
      <c r="P4" s="39"/>
      <c r="Q4" s="39" t="s">
        <v>25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25"/>
      <c r="BZ4" s="25"/>
      <c r="CA4" s="25"/>
      <c r="CB4" s="25"/>
      <c r="CC4" s="25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3:141" ht="14.25">
      <c r="C5" s="23" t="s">
        <v>32</v>
      </c>
      <c r="D5" s="18">
        <v>0.001</v>
      </c>
      <c r="E5" t="s">
        <v>33</v>
      </c>
      <c r="K5" s="40">
        <f>+D19</f>
        <v>318471.3375796178</v>
      </c>
      <c r="L5" s="39">
        <f>+C25</f>
        <v>0.03806028499241819</v>
      </c>
      <c r="M5" s="39"/>
      <c r="N5" s="39">
        <v>100</v>
      </c>
      <c r="O5" s="39">
        <f>+C25</f>
        <v>0.03806028499241819</v>
      </c>
      <c r="P5" s="39"/>
      <c r="Q5" s="39" t="s">
        <v>12</v>
      </c>
      <c r="R5" s="41">
        <f aca="true" t="shared" si="0" ref="R5:AW5">2.51/(SQRT(R7)*(10^(-0.5/SQRT(R7))-1/3.71*$D$15))</f>
        <v>-12023.434102869218</v>
      </c>
      <c r="S5" s="41">
        <f t="shared" si="0"/>
        <v>-11734.32809358055</v>
      </c>
      <c r="T5" s="41">
        <f t="shared" si="0"/>
        <v>-11452.424109371701</v>
      </c>
      <c r="U5" s="41">
        <f t="shared" si="0"/>
        <v>-11177.62202911683</v>
      </c>
      <c r="V5" s="41">
        <f t="shared" si="0"/>
        <v>-10909.843762107106</v>
      </c>
      <c r="W5" s="41">
        <f t="shared" si="0"/>
        <v>-10649.036980645733</v>
      </c>
      <c r="X5" s="41">
        <f t="shared" si="0"/>
        <v>-10395.17945524979</v>
      </c>
      <c r="Y5" s="41">
        <f t="shared" si="0"/>
        <v>-10148.28405170799</v>
      </c>
      <c r="Z5" s="41">
        <f t="shared" si="0"/>
        <v>-9908.404457420194</v>
      </c>
      <c r="AA5" s="41">
        <f t="shared" si="0"/>
        <v>-9675.641719176176</v>
      </c>
      <c r="AB5" s="41">
        <f t="shared" si="0"/>
        <v>-9450.151699539636</v>
      </c>
      <c r="AC5" s="41">
        <f t="shared" si="0"/>
        <v>-9232.153599397448</v>
      </c>
      <c r="AD5" s="41">
        <f t="shared" si="0"/>
        <v>-9021.93975697328</v>
      </c>
      <c r="AE5" s="41">
        <f t="shared" si="0"/>
        <v>-8819.887028194977</v>
      </c>
      <c r="AF5" s="41">
        <f t="shared" si="0"/>
        <v>-8626.470192880688</v>
      </c>
      <c r="AG5" s="41">
        <f t="shared" si="0"/>
        <v>-8442.27803427717</v>
      </c>
      <c r="AH5" s="41">
        <f t="shared" si="0"/>
        <v>-8268.033032801226</v>
      </c>
      <c r="AI5" s="41">
        <f t="shared" si="0"/>
        <v>-8104.616038208513</v>
      </c>
      <c r="AJ5" s="41">
        <f t="shared" si="0"/>
        <v>-7953.097898835934</v>
      </c>
      <c r="AK5" s="41">
        <f t="shared" si="0"/>
        <v>-7814.78092816446</v>
      </c>
      <c r="AL5" s="41">
        <f t="shared" si="0"/>
        <v>-7691.25443333687</v>
      </c>
      <c r="AM5" s="41">
        <f t="shared" si="0"/>
        <v>-7584.47057585805</v>
      </c>
      <c r="AN5" s="41">
        <f t="shared" si="0"/>
        <v>-7496.850021826803</v>
      </c>
      <c r="AO5" s="41">
        <f t="shared" si="0"/>
        <v>-7431.431938554743</v>
      </c>
      <c r="AP5" s="41">
        <f t="shared" si="0"/>
        <v>-7392.09129647679</v>
      </c>
      <c r="AQ5" s="41">
        <f t="shared" si="0"/>
        <v>-7383.860731821313</v>
      </c>
      <c r="AR5" s="41">
        <f t="shared" si="0"/>
        <v>-7413.419436242666</v>
      </c>
      <c r="AS5" s="41">
        <f t="shared" si="0"/>
        <v>-7489.857818096067</v>
      </c>
      <c r="AT5" s="41">
        <f t="shared" si="0"/>
        <v>-7625.915623681229</v>
      </c>
      <c r="AU5" s="41">
        <f t="shared" si="0"/>
        <v>-7840.071529314589</v>
      </c>
      <c r="AV5" s="41">
        <f t="shared" si="0"/>
        <v>-8160.251670192089</v>
      </c>
      <c r="AW5" s="41">
        <f t="shared" si="0"/>
        <v>-8630.832485115345</v>
      </c>
      <c r="AX5" s="41">
        <f aca="true" t="shared" si="1" ref="AX5:BX5">2.51/(SQRT(AX7)*(10^(-0.5/SQRT(AX7))-1/3.71*$D$15))</f>
        <v>-9326.939545145302</v>
      </c>
      <c r="AY5" s="41">
        <f t="shared" si="1"/>
        <v>-10386.767710531132</v>
      </c>
      <c r="AZ5" s="41">
        <f t="shared" si="1"/>
        <v>-12095.46035249951</v>
      </c>
      <c r="BA5" s="41">
        <f t="shared" si="1"/>
        <v>-15151.252807097102</v>
      </c>
      <c r="BB5" s="41">
        <f t="shared" si="1"/>
        <v>-21838.282805097497</v>
      </c>
      <c r="BC5" s="41">
        <f t="shared" si="1"/>
        <v>-46443.375304623136</v>
      </c>
      <c r="BD5" s="41">
        <f t="shared" si="1"/>
        <v>136095.66121830072</v>
      </c>
      <c r="BE5" s="41">
        <f t="shared" si="1"/>
        <v>24109.568471710914</v>
      </c>
      <c r="BF5" s="41">
        <f t="shared" si="1"/>
        <v>12262.214397862474</v>
      </c>
      <c r="BG5" s="41">
        <f t="shared" si="1"/>
        <v>7792.284242925306</v>
      </c>
      <c r="BH5" s="41">
        <f t="shared" si="1"/>
        <v>5474.847807383311</v>
      </c>
      <c r="BI5" s="41">
        <f t="shared" si="1"/>
        <v>4074.562899370844</v>
      </c>
      <c r="BJ5" s="41">
        <f t="shared" si="1"/>
        <v>3148.2596567845458</v>
      </c>
      <c r="BK5" s="41">
        <f t="shared" si="1"/>
        <v>2497.767804161447</v>
      </c>
      <c r="BL5" s="41">
        <f t="shared" si="1"/>
        <v>2021.2291086609255</v>
      </c>
      <c r="BM5" s="41">
        <f t="shared" si="1"/>
        <v>1660.9720824285043</v>
      </c>
      <c r="BN5" s="41">
        <f t="shared" si="1"/>
        <v>1381.9317751021822</v>
      </c>
      <c r="BO5" s="41">
        <f t="shared" si="1"/>
        <v>1161.5899633266786</v>
      </c>
      <c r="BP5" s="41">
        <f t="shared" si="1"/>
        <v>984.8467303979686</v>
      </c>
      <c r="BQ5" s="41">
        <f t="shared" si="1"/>
        <v>841.216062655687</v>
      </c>
      <c r="BR5" s="41">
        <f t="shared" si="1"/>
        <v>723.203021368978</v>
      </c>
      <c r="BS5" s="41">
        <f t="shared" si="1"/>
        <v>625.3197931790422</v>
      </c>
      <c r="BT5" s="41">
        <f t="shared" si="1"/>
        <v>543.4652708373396</v>
      </c>
      <c r="BU5" s="41">
        <f t="shared" si="1"/>
        <v>474.520588057012</v>
      </c>
      <c r="BV5" s="41">
        <f t="shared" si="1"/>
        <v>416.07775541256814</v>
      </c>
      <c r="BW5" s="41">
        <f t="shared" si="1"/>
        <v>366.25299031407735</v>
      </c>
      <c r="BX5" s="41">
        <f t="shared" si="1"/>
        <v>323.5554630987112</v>
      </c>
      <c r="BY5" s="25"/>
      <c r="BZ5" s="25"/>
      <c r="CA5" s="25"/>
      <c r="CB5" s="25"/>
      <c r="CC5" s="25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</row>
    <row r="6" spans="3:141" ht="12.75">
      <c r="C6" s="2"/>
      <c r="D6" s="19"/>
      <c r="K6" s="39"/>
      <c r="L6" s="39"/>
      <c r="M6" s="39"/>
      <c r="N6" s="40">
        <f>+D19</f>
        <v>318471.3375796178</v>
      </c>
      <c r="O6" s="39">
        <f>+O5</f>
        <v>0.03806028499241819</v>
      </c>
      <c r="P6" s="39"/>
      <c r="Q6" s="39" t="s">
        <v>27</v>
      </c>
      <c r="R6" s="41" t="e">
        <f aca="true" t="shared" si="2" ref="R6:AW6">IF(R5&gt;4000,R5,#N/A)</f>
        <v>#N/A</v>
      </c>
      <c r="S6" s="41" t="e">
        <f t="shared" si="2"/>
        <v>#N/A</v>
      </c>
      <c r="T6" s="41" t="e">
        <f t="shared" si="2"/>
        <v>#N/A</v>
      </c>
      <c r="U6" s="41" t="e">
        <f t="shared" si="2"/>
        <v>#N/A</v>
      </c>
      <c r="V6" s="41" t="e">
        <f t="shared" si="2"/>
        <v>#N/A</v>
      </c>
      <c r="W6" s="41" t="e">
        <f t="shared" si="2"/>
        <v>#N/A</v>
      </c>
      <c r="X6" s="41" t="e">
        <f t="shared" si="2"/>
        <v>#N/A</v>
      </c>
      <c r="Y6" s="41" t="e">
        <f t="shared" si="2"/>
        <v>#N/A</v>
      </c>
      <c r="Z6" s="41" t="e">
        <f t="shared" si="2"/>
        <v>#N/A</v>
      </c>
      <c r="AA6" s="41" t="e">
        <f t="shared" si="2"/>
        <v>#N/A</v>
      </c>
      <c r="AB6" s="41" t="e">
        <f t="shared" si="2"/>
        <v>#N/A</v>
      </c>
      <c r="AC6" s="41" t="e">
        <f t="shared" si="2"/>
        <v>#N/A</v>
      </c>
      <c r="AD6" s="41" t="e">
        <f t="shared" si="2"/>
        <v>#N/A</v>
      </c>
      <c r="AE6" s="41" t="e">
        <f t="shared" si="2"/>
        <v>#N/A</v>
      </c>
      <c r="AF6" s="41" t="e">
        <f t="shared" si="2"/>
        <v>#N/A</v>
      </c>
      <c r="AG6" s="41" t="e">
        <f t="shared" si="2"/>
        <v>#N/A</v>
      </c>
      <c r="AH6" s="41" t="e">
        <f t="shared" si="2"/>
        <v>#N/A</v>
      </c>
      <c r="AI6" s="41" t="e">
        <f t="shared" si="2"/>
        <v>#N/A</v>
      </c>
      <c r="AJ6" s="41" t="e">
        <f t="shared" si="2"/>
        <v>#N/A</v>
      </c>
      <c r="AK6" s="41" t="e">
        <f t="shared" si="2"/>
        <v>#N/A</v>
      </c>
      <c r="AL6" s="41" t="e">
        <f t="shared" si="2"/>
        <v>#N/A</v>
      </c>
      <c r="AM6" s="41" t="e">
        <f t="shared" si="2"/>
        <v>#N/A</v>
      </c>
      <c r="AN6" s="41" t="e">
        <f t="shared" si="2"/>
        <v>#N/A</v>
      </c>
      <c r="AO6" s="41" t="e">
        <f t="shared" si="2"/>
        <v>#N/A</v>
      </c>
      <c r="AP6" s="41" t="e">
        <f t="shared" si="2"/>
        <v>#N/A</v>
      </c>
      <c r="AQ6" s="41" t="e">
        <f t="shared" si="2"/>
        <v>#N/A</v>
      </c>
      <c r="AR6" s="41" t="e">
        <f t="shared" si="2"/>
        <v>#N/A</v>
      </c>
      <c r="AS6" s="41" t="e">
        <f t="shared" si="2"/>
        <v>#N/A</v>
      </c>
      <c r="AT6" s="41" t="e">
        <f t="shared" si="2"/>
        <v>#N/A</v>
      </c>
      <c r="AU6" s="41" t="e">
        <f t="shared" si="2"/>
        <v>#N/A</v>
      </c>
      <c r="AV6" s="41" t="e">
        <f t="shared" si="2"/>
        <v>#N/A</v>
      </c>
      <c r="AW6" s="41" t="e">
        <f t="shared" si="2"/>
        <v>#N/A</v>
      </c>
      <c r="AX6" s="41" t="e">
        <f aca="true" t="shared" si="3" ref="AX6:BX6">IF(AX5&gt;4000,AX5,#N/A)</f>
        <v>#N/A</v>
      </c>
      <c r="AY6" s="41" t="e">
        <f t="shared" si="3"/>
        <v>#N/A</v>
      </c>
      <c r="AZ6" s="41" t="e">
        <f t="shared" si="3"/>
        <v>#N/A</v>
      </c>
      <c r="BA6" s="41" t="e">
        <f t="shared" si="3"/>
        <v>#N/A</v>
      </c>
      <c r="BB6" s="41" t="e">
        <f t="shared" si="3"/>
        <v>#N/A</v>
      </c>
      <c r="BC6" s="41" t="e">
        <f t="shared" si="3"/>
        <v>#N/A</v>
      </c>
      <c r="BD6" s="41">
        <f t="shared" si="3"/>
        <v>136095.66121830072</v>
      </c>
      <c r="BE6" s="41">
        <f t="shared" si="3"/>
        <v>24109.568471710914</v>
      </c>
      <c r="BF6" s="41">
        <f t="shared" si="3"/>
        <v>12262.214397862474</v>
      </c>
      <c r="BG6" s="41">
        <f t="shared" si="3"/>
        <v>7792.284242925306</v>
      </c>
      <c r="BH6" s="41">
        <f t="shared" si="3"/>
        <v>5474.847807383311</v>
      </c>
      <c r="BI6" s="41">
        <f t="shared" si="3"/>
        <v>4074.562899370844</v>
      </c>
      <c r="BJ6" s="41" t="e">
        <f t="shared" si="3"/>
        <v>#N/A</v>
      </c>
      <c r="BK6" s="41" t="e">
        <f t="shared" si="3"/>
        <v>#N/A</v>
      </c>
      <c r="BL6" s="41" t="e">
        <f t="shared" si="3"/>
        <v>#N/A</v>
      </c>
      <c r="BM6" s="41" t="e">
        <f t="shared" si="3"/>
        <v>#N/A</v>
      </c>
      <c r="BN6" s="41" t="e">
        <f t="shared" si="3"/>
        <v>#N/A</v>
      </c>
      <c r="BO6" s="41" t="e">
        <f t="shared" si="3"/>
        <v>#N/A</v>
      </c>
      <c r="BP6" s="41" t="e">
        <f t="shared" si="3"/>
        <v>#N/A</v>
      </c>
      <c r="BQ6" s="41" t="e">
        <f t="shared" si="3"/>
        <v>#N/A</v>
      </c>
      <c r="BR6" s="41" t="e">
        <f t="shared" si="3"/>
        <v>#N/A</v>
      </c>
      <c r="BS6" s="41" t="e">
        <f t="shared" si="3"/>
        <v>#N/A</v>
      </c>
      <c r="BT6" s="41" t="e">
        <f t="shared" si="3"/>
        <v>#N/A</v>
      </c>
      <c r="BU6" s="41" t="e">
        <f t="shared" si="3"/>
        <v>#N/A</v>
      </c>
      <c r="BV6" s="41" t="e">
        <f t="shared" si="3"/>
        <v>#N/A</v>
      </c>
      <c r="BW6" s="41" t="e">
        <f t="shared" si="3"/>
        <v>#N/A</v>
      </c>
      <c r="BX6" s="41" t="e">
        <f t="shared" si="3"/>
        <v>#N/A</v>
      </c>
      <c r="BY6" s="25"/>
      <c r="BZ6" s="25"/>
      <c r="CA6" s="25"/>
      <c r="CB6" s="25"/>
      <c r="CC6" s="25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2:141" ht="12.75">
      <c r="B7" t="s">
        <v>43</v>
      </c>
      <c r="C7" s="2" t="s">
        <v>0</v>
      </c>
      <c r="D7" s="18">
        <v>0.02</v>
      </c>
      <c r="E7" t="s">
        <v>15</v>
      </c>
      <c r="K7" s="40">
        <f>+IF($D$26="ok",1,K5)</f>
        <v>1</v>
      </c>
      <c r="L7" s="40">
        <f>+IF($D$26="ok",1,L5)</f>
        <v>1</v>
      </c>
      <c r="M7" s="39"/>
      <c r="N7" s="39"/>
      <c r="O7" s="39"/>
      <c r="P7" s="39"/>
      <c r="Q7" s="39" t="s">
        <v>26</v>
      </c>
      <c r="R7" s="39">
        <v>0.006</v>
      </c>
      <c r="S7" s="39">
        <f aca="true" t="shared" si="4" ref="S7:AX7">+R7*1.05</f>
        <v>0.0063</v>
      </c>
      <c r="T7" s="39">
        <f t="shared" si="4"/>
        <v>0.006615</v>
      </c>
      <c r="U7" s="39">
        <f t="shared" si="4"/>
        <v>0.0069457500000000005</v>
      </c>
      <c r="V7" s="39">
        <f t="shared" si="4"/>
        <v>0.007293037500000001</v>
      </c>
      <c r="W7" s="39">
        <f t="shared" si="4"/>
        <v>0.007657689375000001</v>
      </c>
      <c r="X7" s="39">
        <f t="shared" si="4"/>
        <v>0.008040573843750001</v>
      </c>
      <c r="Y7" s="39">
        <f t="shared" si="4"/>
        <v>0.008442602535937501</v>
      </c>
      <c r="Z7" s="39">
        <f t="shared" si="4"/>
        <v>0.008864732662734376</v>
      </c>
      <c r="AA7" s="39">
        <f t="shared" si="4"/>
        <v>0.009307969295871096</v>
      </c>
      <c r="AB7" s="39">
        <f t="shared" si="4"/>
        <v>0.009773367760664651</v>
      </c>
      <c r="AC7" s="39">
        <f t="shared" si="4"/>
        <v>0.010262036148697884</v>
      </c>
      <c r="AD7" s="39">
        <f t="shared" si="4"/>
        <v>0.01077513795613278</v>
      </c>
      <c r="AE7" s="39">
        <f t="shared" si="4"/>
        <v>0.011313894853939419</v>
      </c>
      <c r="AF7" s="39">
        <f t="shared" si="4"/>
        <v>0.01187958959663639</v>
      </c>
      <c r="AG7" s="39">
        <f t="shared" si="4"/>
        <v>0.01247356907646821</v>
      </c>
      <c r="AH7" s="39">
        <f t="shared" si="4"/>
        <v>0.013097247530291622</v>
      </c>
      <c r="AI7" s="39">
        <f t="shared" si="4"/>
        <v>0.013752109906806205</v>
      </c>
      <c r="AJ7" s="39">
        <f t="shared" si="4"/>
        <v>0.014439715402146516</v>
      </c>
      <c r="AK7" s="39">
        <f t="shared" si="4"/>
        <v>0.015161701172253843</v>
      </c>
      <c r="AL7" s="39">
        <f t="shared" si="4"/>
        <v>0.015919786230866536</v>
      </c>
      <c r="AM7" s="39">
        <f t="shared" si="4"/>
        <v>0.016715775542409862</v>
      </c>
      <c r="AN7" s="39">
        <f t="shared" si="4"/>
        <v>0.017551564319530356</v>
      </c>
      <c r="AO7" s="39">
        <f t="shared" si="4"/>
        <v>0.018429142535506874</v>
      </c>
      <c r="AP7" s="39">
        <f t="shared" si="4"/>
        <v>0.019350599662282218</v>
      </c>
      <c r="AQ7" s="39">
        <f t="shared" si="4"/>
        <v>0.02031812964539633</v>
      </c>
      <c r="AR7" s="39">
        <f t="shared" si="4"/>
        <v>0.02133403612766615</v>
      </c>
      <c r="AS7" s="39">
        <f t="shared" si="4"/>
        <v>0.022400737934049456</v>
      </c>
      <c r="AT7" s="39">
        <f t="shared" si="4"/>
        <v>0.02352077483075193</v>
      </c>
      <c r="AU7" s="39">
        <f t="shared" si="4"/>
        <v>0.024696813572289526</v>
      </c>
      <c r="AV7" s="39">
        <f t="shared" si="4"/>
        <v>0.025931654250904004</v>
      </c>
      <c r="AW7" s="39">
        <f t="shared" si="4"/>
        <v>0.027228236963449205</v>
      </c>
      <c r="AX7" s="39">
        <f t="shared" si="4"/>
        <v>0.028589648811621668</v>
      </c>
      <c r="AY7" s="39">
        <f aca="true" t="shared" si="5" ref="AY7:BX7">+AX7*1.05</f>
        <v>0.030019131252202753</v>
      </c>
      <c r="AZ7" s="39">
        <f t="shared" si="5"/>
        <v>0.03152008781481289</v>
      </c>
      <c r="BA7" s="39">
        <f t="shared" si="5"/>
        <v>0.03309609220555354</v>
      </c>
      <c r="BB7" s="39">
        <f t="shared" si="5"/>
        <v>0.03475089681583122</v>
      </c>
      <c r="BC7" s="39">
        <f t="shared" si="5"/>
        <v>0.03648844165662278</v>
      </c>
      <c r="BD7" s="39">
        <f t="shared" si="5"/>
        <v>0.038312863739453924</v>
      </c>
      <c r="BE7" s="39">
        <f t="shared" si="5"/>
        <v>0.04022850692642662</v>
      </c>
      <c r="BF7" s="39">
        <f t="shared" si="5"/>
        <v>0.04223993227274795</v>
      </c>
      <c r="BG7" s="39">
        <f t="shared" si="5"/>
        <v>0.04435192888638535</v>
      </c>
      <c r="BH7" s="39">
        <f t="shared" si="5"/>
        <v>0.046569525330704624</v>
      </c>
      <c r="BI7" s="39">
        <f t="shared" si="5"/>
        <v>0.04889800159723986</v>
      </c>
      <c r="BJ7" s="39">
        <f t="shared" si="5"/>
        <v>0.05134290167710185</v>
      </c>
      <c r="BK7" s="39">
        <f t="shared" si="5"/>
        <v>0.053910046760956946</v>
      </c>
      <c r="BL7" s="39">
        <f t="shared" si="5"/>
        <v>0.056605549099004795</v>
      </c>
      <c r="BM7" s="39">
        <f t="shared" si="5"/>
        <v>0.05943582655395504</v>
      </c>
      <c r="BN7" s="39">
        <f t="shared" si="5"/>
        <v>0.06240761788165279</v>
      </c>
      <c r="BO7" s="39">
        <f t="shared" si="5"/>
        <v>0.06552799877573544</v>
      </c>
      <c r="BP7" s="39">
        <f t="shared" si="5"/>
        <v>0.06880439871452221</v>
      </c>
      <c r="BQ7" s="39">
        <f t="shared" si="5"/>
        <v>0.07224461865024832</v>
      </c>
      <c r="BR7" s="39">
        <f t="shared" si="5"/>
        <v>0.07585684958276075</v>
      </c>
      <c r="BS7" s="39">
        <f t="shared" si="5"/>
        <v>0.07964969206189879</v>
      </c>
      <c r="BT7" s="39">
        <f t="shared" si="5"/>
        <v>0.08363217666499373</v>
      </c>
      <c r="BU7" s="39">
        <f t="shared" si="5"/>
        <v>0.08781378549824342</v>
      </c>
      <c r="BV7" s="39">
        <f t="shared" si="5"/>
        <v>0.0922044747731556</v>
      </c>
      <c r="BW7" s="39">
        <f t="shared" si="5"/>
        <v>0.09681469851181339</v>
      </c>
      <c r="BX7" s="39">
        <f t="shared" si="5"/>
        <v>0.10165543343740406</v>
      </c>
      <c r="BY7" s="25"/>
      <c r="BZ7" s="25"/>
      <c r="CA7" s="25"/>
      <c r="CB7" s="25"/>
      <c r="CC7" s="25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3:141" ht="15.75">
      <c r="C8" s="23" t="s">
        <v>30</v>
      </c>
      <c r="D8" s="48">
        <v>0.0002</v>
      </c>
      <c r="E8" t="s">
        <v>14</v>
      </c>
      <c r="K8" s="39"/>
      <c r="L8" s="42"/>
      <c r="M8" s="39"/>
      <c r="N8" s="40">
        <f>+D19</f>
        <v>318471.3375796178</v>
      </c>
      <c r="O8" s="39">
        <f>+C25</f>
        <v>0.03806028499241819</v>
      </c>
      <c r="P8" s="40"/>
      <c r="Q8" s="39" t="s">
        <v>28</v>
      </c>
      <c r="R8" s="39">
        <f aca="true" t="shared" si="6" ref="R8:AW8">IF(R5&gt;4000,R7,99)</f>
        <v>99</v>
      </c>
      <c r="S8" s="39">
        <f t="shared" si="6"/>
        <v>99</v>
      </c>
      <c r="T8" s="39">
        <f t="shared" si="6"/>
        <v>99</v>
      </c>
      <c r="U8" s="39">
        <f t="shared" si="6"/>
        <v>99</v>
      </c>
      <c r="V8" s="39">
        <f t="shared" si="6"/>
        <v>99</v>
      </c>
      <c r="W8" s="39">
        <f t="shared" si="6"/>
        <v>99</v>
      </c>
      <c r="X8" s="39">
        <f t="shared" si="6"/>
        <v>99</v>
      </c>
      <c r="Y8" s="39">
        <f t="shared" si="6"/>
        <v>99</v>
      </c>
      <c r="Z8" s="39">
        <f t="shared" si="6"/>
        <v>99</v>
      </c>
      <c r="AA8" s="39">
        <f t="shared" si="6"/>
        <v>99</v>
      </c>
      <c r="AB8" s="39">
        <f t="shared" si="6"/>
        <v>99</v>
      </c>
      <c r="AC8" s="39">
        <f t="shared" si="6"/>
        <v>99</v>
      </c>
      <c r="AD8" s="39">
        <f t="shared" si="6"/>
        <v>99</v>
      </c>
      <c r="AE8" s="39">
        <f t="shared" si="6"/>
        <v>99</v>
      </c>
      <c r="AF8" s="39">
        <f t="shared" si="6"/>
        <v>99</v>
      </c>
      <c r="AG8" s="39">
        <f t="shared" si="6"/>
        <v>99</v>
      </c>
      <c r="AH8" s="39">
        <f t="shared" si="6"/>
        <v>99</v>
      </c>
      <c r="AI8" s="39">
        <f t="shared" si="6"/>
        <v>99</v>
      </c>
      <c r="AJ8" s="39">
        <f t="shared" si="6"/>
        <v>99</v>
      </c>
      <c r="AK8" s="39">
        <f t="shared" si="6"/>
        <v>99</v>
      </c>
      <c r="AL8" s="39">
        <f t="shared" si="6"/>
        <v>99</v>
      </c>
      <c r="AM8" s="39">
        <f t="shared" si="6"/>
        <v>99</v>
      </c>
      <c r="AN8" s="39">
        <f t="shared" si="6"/>
        <v>99</v>
      </c>
      <c r="AO8" s="39">
        <f t="shared" si="6"/>
        <v>99</v>
      </c>
      <c r="AP8" s="39">
        <f t="shared" si="6"/>
        <v>99</v>
      </c>
      <c r="AQ8" s="39">
        <f t="shared" si="6"/>
        <v>99</v>
      </c>
      <c r="AR8" s="39">
        <f t="shared" si="6"/>
        <v>99</v>
      </c>
      <c r="AS8" s="39">
        <f t="shared" si="6"/>
        <v>99</v>
      </c>
      <c r="AT8" s="39">
        <f t="shared" si="6"/>
        <v>99</v>
      </c>
      <c r="AU8" s="39">
        <f t="shared" si="6"/>
        <v>99</v>
      </c>
      <c r="AV8" s="39">
        <f t="shared" si="6"/>
        <v>99</v>
      </c>
      <c r="AW8" s="39">
        <f t="shared" si="6"/>
        <v>99</v>
      </c>
      <c r="AX8" s="39">
        <f aca="true" t="shared" si="7" ref="AX8:BX8">IF(AX5&gt;4000,AX7,99)</f>
        <v>99</v>
      </c>
      <c r="AY8" s="39">
        <f t="shared" si="7"/>
        <v>99</v>
      </c>
      <c r="AZ8" s="39">
        <f t="shared" si="7"/>
        <v>99</v>
      </c>
      <c r="BA8" s="39">
        <f t="shared" si="7"/>
        <v>99</v>
      </c>
      <c r="BB8" s="39">
        <f t="shared" si="7"/>
        <v>99</v>
      </c>
      <c r="BC8" s="39">
        <f t="shared" si="7"/>
        <v>99</v>
      </c>
      <c r="BD8" s="39">
        <f t="shared" si="7"/>
        <v>0.038312863739453924</v>
      </c>
      <c r="BE8" s="39">
        <f t="shared" si="7"/>
        <v>0.04022850692642662</v>
      </c>
      <c r="BF8" s="39">
        <f t="shared" si="7"/>
        <v>0.04223993227274795</v>
      </c>
      <c r="BG8" s="39">
        <f t="shared" si="7"/>
        <v>0.04435192888638535</v>
      </c>
      <c r="BH8" s="39">
        <f t="shared" si="7"/>
        <v>0.046569525330704624</v>
      </c>
      <c r="BI8" s="39">
        <f t="shared" si="7"/>
        <v>0.04889800159723986</v>
      </c>
      <c r="BJ8" s="39">
        <f t="shared" si="7"/>
        <v>99</v>
      </c>
      <c r="BK8" s="39">
        <f t="shared" si="7"/>
        <v>99</v>
      </c>
      <c r="BL8" s="39">
        <f t="shared" si="7"/>
        <v>99</v>
      </c>
      <c r="BM8" s="39">
        <f t="shared" si="7"/>
        <v>99</v>
      </c>
      <c r="BN8" s="39">
        <f t="shared" si="7"/>
        <v>99</v>
      </c>
      <c r="BO8" s="39">
        <f t="shared" si="7"/>
        <v>99</v>
      </c>
      <c r="BP8" s="39">
        <f t="shared" si="7"/>
        <v>99</v>
      </c>
      <c r="BQ8" s="39">
        <f t="shared" si="7"/>
        <v>99</v>
      </c>
      <c r="BR8" s="39">
        <f t="shared" si="7"/>
        <v>99</v>
      </c>
      <c r="BS8" s="39">
        <f t="shared" si="7"/>
        <v>99</v>
      </c>
      <c r="BT8" s="39">
        <f t="shared" si="7"/>
        <v>99</v>
      </c>
      <c r="BU8" s="39">
        <f t="shared" si="7"/>
        <v>99</v>
      </c>
      <c r="BV8" s="39">
        <f t="shared" si="7"/>
        <v>99</v>
      </c>
      <c r="BW8" s="39">
        <f t="shared" si="7"/>
        <v>99</v>
      </c>
      <c r="BX8" s="39">
        <f t="shared" si="7"/>
        <v>99</v>
      </c>
      <c r="BY8" s="25"/>
      <c r="BZ8" s="25"/>
      <c r="CA8" s="25"/>
      <c r="CB8" s="25"/>
      <c r="CC8" s="25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3:141" ht="15.75">
      <c r="C9" s="2" t="s">
        <v>7</v>
      </c>
      <c r="D9" s="18">
        <v>50</v>
      </c>
      <c r="E9" t="s">
        <v>14</v>
      </c>
      <c r="K9" s="39"/>
      <c r="L9" s="43"/>
      <c r="M9" s="39"/>
      <c r="N9" s="40">
        <f>+N8</f>
        <v>318471.3375796178</v>
      </c>
      <c r="O9" s="39">
        <v>1E-05</v>
      </c>
      <c r="P9" s="40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25"/>
      <c r="BZ9" s="25"/>
      <c r="CA9" s="25"/>
      <c r="CB9" s="25"/>
      <c r="CC9" s="25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</row>
    <row r="10" spans="3:141" ht="15.75">
      <c r="C10" s="2"/>
      <c r="D10" s="19"/>
      <c r="K10" s="39"/>
      <c r="L10" s="43"/>
      <c r="M10" s="39"/>
      <c r="N10" s="39"/>
      <c r="O10" s="39"/>
      <c r="P10" s="40"/>
      <c r="Q10" s="39" t="s">
        <v>27</v>
      </c>
      <c r="R10" s="40">
        <f>+MAX(R5:BX5)</f>
        <v>136095.66121830072</v>
      </c>
      <c r="S10" s="40">
        <f>+R10*5</f>
        <v>680478.3060915036</v>
      </c>
      <c r="T10" s="44">
        <v>100000000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25"/>
      <c r="BZ10" s="25"/>
      <c r="CA10" s="25"/>
      <c r="CB10" s="25"/>
      <c r="CC10" s="25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</row>
    <row r="11" spans="2:141" ht="15.75">
      <c r="B11" t="s">
        <v>44</v>
      </c>
      <c r="C11" s="2" t="s">
        <v>1</v>
      </c>
      <c r="D11" s="31">
        <v>0.005</v>
      </c>
      <c r="E11" t="s">
        <v>13</v>
      </c>
      <c r="K11" s="39"/>
      <c r="L11" s="43"/>
      <c r="M11" s="39"/>
      <c r="N11" s="39"/>
      <c r="O11" s="39"/>
      <c r="P11" s="40"/>
      <c r="Q11" s="39" t="s">
        <v>26</v>
      </c>
      <c r="R11" s="39">
        <f>+MIN(R8:BX8)</f>
        <v>0.038312863739453924</v>
      </c>
      <c r="S11" s="39">
        <f>IF(D15&gt;0,+(1/(-2*LOG(1/3.71*$D$15)))^2,R11)</f>
        <v>0.03786913533793549</v>
      </c>
      <c r="T11" s="39">
        <f>IF(D15&gt;0,+(1/(-2*LOG(1/3.71*$D$15)))^2,R11)</f>
        <v>0.03786913533793549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25"/>
      <c r="BZ11" s="25"/>
      <c r="CA11" s="25"/>
      <c r="CB11" s="25"/>
      <c r="CC11" s="25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76" s="7" customFormat="1" ht="12.75">
      <c r="A12" s="37"/>
      <c r="B12" s="37"/>
      <c r="C12" s="37"/>
      <c r="D12" s="37"/>
      <c r="E12" s="37"/>
      <c r="F12" s="37"/>
      <c r="G12"/>
      <c r="H12" s="3"/>
      <c r="I12"/>
      <c r="J12" s="37"/>
      <c r="K12" s="37"/>
      <c r="L12" s="37"/>
      <c r="M12" s="4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2:141" ht="15.75">
      <c r="B13" s="9" t="s">
        <v>36</v>
      </c>
      <c r="C13" s="8"/>
      <c r="D13" s="8"/>
      <c r="K13" s="39"/>
      <c r="L13" s="43"/>
      <c r="M13" s="39"/>
      <c r="N13" s="39"/>
      <c r="O13" s="39"/>
      <c r="P13" s="40"/>
      <c r="Q13" s="39"/>
      <c r="R13" s="40"/>
      <c r="S13" s="40"/>
      <c r="T13" s="44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25"/>
      <c r="BZ13" s="25"/>
      <c r="CA13" s="25"/>
      <c r="CB13" s="25"/>
      <c r="CC13" s="25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</row>
    <row r="14" spans="3:141" ht="15.75">
      <c r="C14" t="s">
        <v>2</v>
      </c>
      <c r="D14" s="34">
        <f>+D7^2*3.14/4</f>
        <v>0.00031400000000000004</v>
      </c>
      <c r="E14" t="s">
        <v>16</v>
      </c>
      <c r="K14" s="39"/>
      <c r="L14" s="43"/>
      <c r="M14" s="39"/>
      <c r="N14" s="39"/>
      <c r="O14" s="39"/>
      <c r="P14" s="40"/>
      <c r="Q14" s="39"/>
      <c r="R14" s="40"/>
      <c r="S14" s="40"/>
      <c r="T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25"/>
      <c r="BZ14" s="25"/>
      <c r="CA14" s="25"/>
      <c r="CB14" s="25"/>
      <c r="CC14" s="25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</row>
    <row r="15" spans="3:141" ht="15.75">
      <c r="C15" s="5" t="s">
        <v>10</v>
      </c>
      <c r="D15" s="34">
        <f>+D8/D7</f>
        <v>0.01</v>
      </c>
      <c r="E15" s="10" t="s">
        <v>21</v>
      </c>
      <c r="K15" s="39"/>
      <c r="L15" s="43"/>
      <c r="M15" s="39"/>
      <c r="N15" s="39"/>
      <c r="O15" s="39"/>
      <c r="P15" s="40"/>
      <c r="Q15" s="39"/>
      <c r="R15" s="40"/>
      <c r="S15" s="40"/>
      <c r="T15" s="4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25"/>
      <c r="BZ15" s="25"/>
      <c r="CA15" s="25"/>
      <c r="CB15" s="25"/>
      <c r="CC15" s="25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</row>
    <row r="16" spans="4:141" ht="15.75">
      <c r="D16" s="32" t="str">
        <f>+IF(D15&gt;0.1,"!! scabrezza troppo elevata !!","ok")</f>
        <v>ok</v>
      </c>
      <c r="K16" s="39"/>
      <c r="L16" s="43"/>
      <c r="M16" s="39"/>
      <c r="N16" s="39"/>
      <c r="O16" s="39"/>
      <c r="P16" s="40"/>
      <c r="Q16" s="39"/>
      <c r="R16" s="40"/>
      <c r="S16" s="40"/>
      <c r="T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25"/>
      <c r="BZ16" s="25"/>
      <c r="CA16" s="25"/>
      <c r="CB16" s="25"/>
      <c r="CC16" s="25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3:141" ht="15.75">
      <c r="C17" t="s">
        <v>3</v>
      </c>
      <c r="D17" s="4">
        <f>+D11/D14</f>
        <v>15.923566878980889</v>
      </c>
      <c r="E17" t="s">
        <v>17</v>
      </c>
      <c r="K17" s="39"/>
      <c r="L17" s="43"/>
      <c r="M17" s="39"/>
      <c r="N17" s="39"/>
      <c r="O17" s="39"/>
      <c r="P17" s="40"/>
      <c r="Q17" s="39"/>
      <c r="R17" s="40"/>
      <c r="S17" s="40"/>
      <c r="T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25"/>
      <c r="BZ17" s="25"/>
      <c r="CA17" s="25"/>
      <c r="CB17" s="25"/>
      <c r="CC17" s="25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3:141" ht="15.75">
      <c r="C18" t="s">
        <v>34</v>
      </c>
      <c r="D18" s="4">
        <f>+D17^2/19.61</f>
        <v>12.930136774573032</v>
      </c>
      <c r="E18" t="s">
        <v>14</v>
      </c>
      <c r="K18" s="39"/>
      <c r="L18" s="43"/>
      <c r="M18" s="39"/>
      <c r="N18" s="39"/>
      <c r="O18" s="39"/>
      <c r="P18" s="40"/>
      <c r="Q18" s="39"/>
      <c r="R18" s="40"/>
      <c r="S18" s="40"/>
      <c r="T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25"/>
      <c r="BZ18" s="25"/>
      <c r="CA18" s="25"/>
      <c r="CB18" s="25"/>
      <c r="CC18" s="25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3:141" ht="15.75">
      <c r="C19" t="s">
        <v>4</v>
      </c>
      <c r="D19" s="6">
        <f>+D4*D17*D7/D5</f>
        <v>318471.3375796178</v>
      </c>
      <c r="E19" s="10" t="s">
        <v>21</v>
      </c>
      <c r="K19" s="39"/>
      <c r="L19" s="43"/>
      <c r="M19" s="39"/>
      <c r="N19" s="39"/>
      <c r="O19" s="39"/>
      <c r="P19" s="40"/>
      <c r="Q19" s="39"/>
      <c r="R19" s="40"/>
      <c r="S19" s="40"/>
      <c r="T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25"/>
      <c r="BZ19" s="25"/>
      <c r="CA19" s="25"/>
      <c r="CB19" s="25"/>
      <c r="CC19" s="25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76" s="7" customFormat="1" ht="12.75">
      <c r="A20" s="37"/>
      <c r="B20" s="37"/>
      <c r="C20" s="37"/>
      <c r="D20" s="37"/>
      <c r="E20" s="37"/>
      <c r="F20" s="37"/>
      <c r="G20"/>
      <c r="H20"/>
      <c r="I20"/>
      <c r="J20" s="37"/>
      <c r="K20" s="37"/>
      <c r="L20" s="37"/>
      <c r="M20" s="4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</row>
    <row r="21" ht="12.75">
      <c r="B21" s="1" t="s">
        <v>37</v>
      </c>
    </row>
    <row r="22" ht="12.75">
      <c r="D22" s="20"/>
    </row>
    <row r="23" spans="2:4" ht="12.75">
      <c r="B23" s="49" t="s">
        <v>51</v>
      </c>
      <c r="C23" s="47">
        <f>IF(D8&gt;0,+(1/(-2*LOG(1/3.71*$D$15)))^2,"non esiste moto ass. turbolento")</f>
        <v>0.03786913533793549</v>
      </c>
      <c r="D23" t="s">
        <v>67</v>
      </c>
    </row>
    <row r="24" spans="2:5" ht="12.75">
      <c r="B24" s="2"/>
      <c r="C24" s="16"/>
      <c r="D24" s="11" t="s">
        <v>45</v>
      </c>
      <c r="E24" s="13">
        <f>+(C25-C23)/C25</f>
        <v>0.005022286473177403</v>
      </c>
    </row>
    <row r="25" spans="2:4" ht="12.75">
      <c r="B25" s="23" t="s">
        <v>5</v>
      </c>
      <c r="C25" s="16">
        <v>0.03806028499241819</v>
      </c>
      <c r="D25" s="10"/>
    </row>
    <row r="26" spans="2:5" ht="12.75">
      <c r="B26" s="21"/>
      <c r="C26" s="8"/>
      <c r="D26" s="77" t="str">
        <f>+IF(D19&lt;4000,"laminar flow?",IF(ABS(C27)&gt;0.01,"&lt;--  press !!!","OK"))</f>
        <v>OK</v>
      </c>
      <c r="E26" s="77"/>
    </row>
    <row r="27" spans="2:5" ht="12.75">
      <c r="B27" s="21" t="s">
        <v>18</v>
      </c>
      <c r="C27" s="22">
        <f>(1/SQRT(C25)+2*LOG(2.51/SQRT(C25)/D19+1/3.71*D15))/C25</f>
        <v>3.597276932598402E-05</v>
      </c>
      <c r="D27" s="77"/>
      <c r="E27" s="77"/>
    </row>
    <row r="28" spans="2:5" ht="12.75">
      <c r="B28" s="21"/>
      <c r="C28" s="8"/>
      <c r="D28" s="77"/>
      <c r="E28" s="77"/>
    </row>
    <row r="29" spans="2:4" ht="12.75">
      <c r="B29" s="2" t="s">
        <v>6</v>
      </c>
      <c r="C29" s="33">
        <f>+C25*D17^2/(2*9.81*D7)</f>
        <v>24.59369312761917</v>
      </c>
      <c r="D29" s="10" t="s">
        <v>21</v>
      </c>
    </row>
    <row r="30" spans="2:5" ht="12.75">
      <c r="B30" s="2" t="s">
        <v>22</v>
      </c>
      <c r="C30" s="4">
        <f>+C29*D9</f>
        <v>1229.6846563809584</v>
      </c>
      <c r="D30" t="s">
        <v>15</v>
      </c>
      <c r="E30" s="3"/>
    </row>
    <row r="31" spans="2:5" ht="12.75">
      <c r="B31" s="37"/>
      <c r="C31" s="37"/>
      <c r="D31" s="37"/>
      <c r="E31" s="37"/>
    </row>
    <row r="32" spans="2:6" ht="12.75">
      <c r="B32" s="15" t="s">
        <v>53</v>
      </c>
      <c r="C32" s="15"/>
      <c r="D32" s="15"/>
      <c r="E32" s="15"/>
      <c r="F32" s="15"/>
    </row>
    <row r="33" spans="2:6" ht="12.75">
      <c r="B33" s="15" t="s">
        <v>38</v>
      </c>
      <c r="C33" s="15"/>
      <c r="D33" s="15"/>
      <c r="E33" s="15"/>
      <c r="F33" s="15"/>
    </row>
    <row r="34" spans="2:6" ht="12.75">
      <c r="B34" s="15" t="s">
        <v>48</v>
      </c>
      <c r="C34" s="15"/>
      <c r="D34" s="15"/>
      <c r="E34" s="15"/>
      <c r="F34" s="15"/>
    </row>
    <row r="35" spans="2:6" ht="12.75">
      <c r="B35" s="15" t="s">
        <v>46</v>
      </c>
      <c r="C35" s="15"/>
      <c r="D35" s="15"/>
      <c r="E35" s="15"/>
      <c r="F35" s="15"/>
    </row>
    <row r="36" spans="2:6" ht="12.75">
      <c r="B36" s="15" t="s">
        <v>49</v>
      </c>
      <c r="C36" s="15"/>
      <c r="D36" s="15"/>
      <c r="E36" s="15"/>
      <c r="F36" s="15"/>
    </row>
    <row r="37" spans="2:6" ht="12.75">
      <c r="B37" s="15" t="s">
        <v>47</v>
      </c>
      <c r="C37" s="15"/>
      <c r="D37" s="15"/>
      <c r="E37" s="15"/>
      <c r="F37" s="15"/>
    </row>
    <row r="38" spans="2:6" ht="12.75">
      <c r="B38" s="15" t="s">
        <v>50</v>
      </c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46"/>
    </row>
    <row r="40" spans="2:6" ht="12.75">
      <c r="B40" s="17"/>
      <c r="C40" s="15"/>
      <c r="D40" s="15"/>
      <c r="E40" s="15"/>
      <c r="F40" s="46"/>
    </row>
    <row r="41" spans="2:6" ht="12.75">
      <c r="B41" s="17"/>
      <c r="C41" s="15"/>
      <c r="D41" s="15"/>
      <c r="E41" s="15"/>
      <c r="F41" s="46"/>
    </row>
    <row r="42" spans="3:6" ht="12.75">
      <c r="C42" s="15"/>
      <c r="D42" s="15"/>
      <c r="E42" s="15"/>
      <c r="F42" s="46"/>
    </row>
    <row r="43" spans="2:6" ht="12.75">
      <c r="B43" s="15"/>
      <c r="C43" s="15"/>
      <c r="D43" s="15"/>
      <c r="E43" s="15"/>
      <c r="F43" s="46"/>
    </row>
  </sheetData>
  <mergeCells count="3">
    <mergeCell ref="D26:E28"/>
    <mergeCell ref="K4:L4"/>
    <mergeCell ref="N4:O4"/>
  </mergeCells>
  <conditionalFormatting sqref="C23">
    <cfRule type="cellIs" priority="1" dxfId="0" operator="equal" stopIfTrue="1">
      <formula>"non esiste moto ass. turbolento"</formula>
    </cfRule>
  </conditionalFormatting>
  <conditionalFormatting sqref="D26:E28">
    <cfRule type="cellIs" priority="2" dxfId="1" operator="notEqual" stopIfTrue="1">
      <formula>"OK"</formula>
    </cfRule>
  </conditionalFormatting>
  <conditionalFormatting sqref="D16">
    <cfRule type="cellIs" priority="3" dxfId="2" operator="equal" stopIfTrue="1">
      <formula>"ok"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Ballio</dc:creator>
  <cp:keywords/>
  <dc:description/>
  <cp:lastModifiedBy>fra</cp:lastModifiedBy>
  <cp:lastPrinted>2007-09-21T09:32:10Z</cp:lastPrinted>
  <dcterms:created xsi:type="dcterms:W3CDTF">1999-05-12T08:21:05Z</dcterms:created>
  <dcterms:modified xsi:type="dcterms:W3CDTF">2007-09-28T09:06:10Z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